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8\30\"/>
    </mc:Choice>
  </mc:AlternateContent>
  <xr:revisionPtr revIDLastSave="0" documentId="13_ncr:1_{4180128E-A17D-4C49-B209-B71734D40E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9.08 " sheetId="5" r:id="rId1"/>
    <sheet name="08.08" sheetId="4" r:id="rId2"/>
  </sheets>
  <definedNames>
    <definedName name="_xlnm._FilterDatabase" localSheetId="1" hidden="1">'08.08'!$A$6:$IQ$6</definedName>
    <definedName name="_xlnm._FilterDatabase" localSheetId="0" hidden="1">'09.08 '!$A$6:$IQ$6</definedName>
    <definedName name="Z_03D5E49F_24F7_44F7_8210_D85778C981A4_.wvu.FilterData" localSheetId="1" hidden="1">'08.08'!$A$6:$AV$63</definedName>
    <definedName name="Z_03D5E49F_24F7_44F7_8210_D85778C981A4_.wvu.FilterData" localSheetId="0" hidden="1">'09.08 '!$A$6:$AV$63</definedName>
    <definedName name="Z_117A7AA9_056F_4018_98AD_EAECFC43F1B3_.wvu.Cols" localSheetId="1" hidden="1">'08.08'!$B:$H,'08.08'!$J:$T,'08.08'!$V:$V,'08.08'!$Z:$Z,'08.08'!$AE:$AE,'08.08'!$AH:$AI,'08.08'!$AL:$AM,'08.08'!$AR:$AT</definedName>
    <definedName name="Z_117A7AA9_056F_4018_98AD_EAECFC43F1B3_.wvu.Cols" localSheetId="0" hidden="1">'09.08 '!$B:$H,'09.08 '!$J:$T,'09.08 '!$V:$V,'09.08 '!$Z:$Z,'09.08 '!$AE:$AE,'09.08 '!$AH:$AI,'09.08 '!$AL:$AM,'09.08 '!$AR:$AT</definedName>
    <definedName name="Z_117A7AA9_056F_4018_98AD_EAECFC43F1B3_.wvu.FilterData" localSheetId="1" hidden="1">'08.08'!$A$6:$AV$63</definedName>
    <definedName name="Z_117A7AA9_056F_4018_98AD_EAECFC43F1B3_.wvu.FilterData" localSheetId="0" hidden="1">'09.08 '!$A$6:$AV$63</definedName>
    <definedName name="Z_117A7AA9_056F_4018_98AD_EAECFC43F1B3_.wvu.PrintArea" localSheetId="1" hidden="1">'08.08'!$A$1:$AQ$66</definedName>
    <definedName name="Z_117A7AA9_056F_4018_98AD_EAECFC43F1B3_.wvu.PrintArea" localSheetId="0" hidden="1">'09.08 '!$A$1:$AQ$66</definedName>
    <definedName name="Z_117A7AA9_056F_4018_98AD_EAECFC43F1B3_.wvu.PrintTitles" localSheetId="1" hidden="1">'08.08'!$4:$6</definedName>
    <definedName name="Z_117A7AA9_056F_4018_98AD_EAECFC43F1B3_.wvu.PrintTitles" localSheetId="0" hidden="1">'09.08 '!$4:$6</definedName>
    <definedName name="Z_117A7AA9_056F_4018_98AD_EAECFC43F1B3_.wvu.Rows" localSheetId="1" hidden="1">'08.08'!$68:$69</definedName>
    <definedName name="Z_117A7AA9_056F_4018_98AD_EAECFC43F1B3_.wvu.Rows" localSheetId="0" hidden="1">'09.08 '!$68:$69</definedName>
    <definedName name="Z_4CBCD9D8_B3F5_4722_8CE7_38B89561B806_.wvu.Cols" localSheetId="1" hidden="1">'08.08'!$B:$H,'08.08'!$J:$O,'08.08'!$AE:$AE,'08.08'!$AL:$AM,'08.08'!$AR:$AT</definedName>
    <definedName name="Z_4CBCD9D8_B3F5_4722_8CE7_38B89561B806_.wvu.Cols" localSheetId="0" hidden="1">'09.08 '!$B:$H,'09.08 '!$J:$O,'09.08 '!$AE:$AE,'09.08 '!$AL:$AM,'09.08 '!$AR:$AT</definedName>
    <definedName name="Z_4CBCD9D8_B3F5_4722_8CE7_38B89561B806_.wvu.PrintArea" localSheetId="1" hidden="1">'08.08'!$A$1:$AT$66</definedName>
    <definedName name="Z_4CBCD9D8_B3F5_4722_8CE7_38B89561B806_.wvu.PrintArea" localSheetId="0" hidden="1">'09.08 '!$A$1:$AT$66</definedName>
    <definedName name="Z_4CBCD9D8_B3F5_4722_8CE7_38B89561B806_.wvu.PrintTitles" localSheetId="1" hidden="1">'08.08'!$4:$6</definedName>
    <definedName name="Z_4CBCD9D8_B3F5_4722_8CE7_38B89561B806_.wvu.PrintTitles" localSheetId="0" hidden="1">'09.08 '!$4:$6</definedName>
    <definedName name="Z_4CBCD9D8_B3F5_4722_8CE7_38B89561B806_.wvu.Rows" localSheetId="1" hidden="1">'08.08'!$68:$69</definedName>
    <definedName name="Z_4CBCD9D8_B3F5_4722_8CE7_38B89561B806_.wvu.Rows" localSheetId="0" hidden="1">'09.08 '!$68:$69</definedName>
    <definedName name="Z_583FA723_9D22_4D8A_87C2_40F053D3EC03_.wvu.FilterData" localSheetId="1" hidden="1">'08.08'!$A$6:$AV$63</definedName>
    <definedName name="Z_583FA723_9D22_4D8A_87C2_40F053D3EC03_.wvu.FilterData" localSheetId="0" hidden="1">'09.08 '!$A$6:$AV$63</definedName>
    <definedName name="Z_65E97C0E_073B_49BA_9AB4_D888408B0A75_.wvu.FilterData" localSheetId="1" hidden="1">'08.08'!$A$6:$AV$63</definedName>
    <definedName name="Z_65E97C0E_073B_49BA_9AB4_D888408B0A75_.wvu.FilterData" localSheetId="0" hidden="1">'09.08 '!$A$6:$AV$63</definedName>
    <definedName name="Z_71A44519_BDEF_434C_95CC_A4A24B3AF9C3_.wvu.FilterData" localSheetId="1" hidden="1">'08.08'!$A$6:$AV$63</definedName>
    <definedName name="Z_71A44519_BDEF_434C_95CC_A4A24B3AF9C3_.wvu.FilterData" localSheetId="0" hidden="1">'09.08 '!$A$6:$AV$63</definedName>
    <definedName name="Z_7DC50C37_F81E_464D_BE66_31375C660B0F_.wvu.Cols" localSheetId="1" hidden="1">'08.08'!$B:$H,'08.08'!$J:$L,'08.08'!$N:$N,'08.08'!$Q:$Q,'08.08'!$AE:$AE,'08.08'!$AL:$AM,'08.08'!$AT:$AT</definedName>
    <definedName name="Z_7DC50C37_F81E_464D_BE66_31375C660B0F_.wvu.Cols" localSheetId="0" hidden="1">'09.08 '!$B:$H,'09.08 '!$J:$L,'09.08 '!$N:$N,'09.08 '!$Q:$Q,'09.08 '!$AE:$AE,'09.08 '!$AL:$AM,'09.08 '!$AT:$AT</definedName>
    <definedName name="Z_7DC50C37_F81E_464D_BE66_31375C660B0F_.wvu.PrintArea" localSheetId="1" hidden="1">'08.08'!$A$1:$AT$66</definedName>
    <definedName name="Z_7DC50C37_F81E_464D_BE66_31375C660B0F_.wvu.PrintArea" localSheetId="0" hidden="1">'09.08 '!$A$1:$AT$66</definedName>
    <definedName name="Z_7DC50C37_F81E_464D_BE66_31375C660B0F_.wvu.PrintTitles" localSheetId="1" hidden="1">'08.08'!$4:$6</definedName>
    <definedName name="Z_7DC50C37_F81E_464D_BE66_31375C660B0F_.wvu.PrintTitles" localSheetId="0" hidden="1">'09.08 '!$4:$6</definedName>
    <definedName name="Z_7DC50C37_F81E_464D_BE66_31375C660B0F_.wvu.Rows" localSheetId="1" hidden="1">'08.08'!$68:$69</definedName>
    <definedName name="Z_7DC50C37_F81E_464D_BE66_31375C660B0F_.wvu.Rows" localSheetId="0" hidden="1">'09.08 '!$68:$69</definedName>
    <definedName name="Z_EFA3296C_EA11_4228_A03B_6841E5AF5251_.wvu.Cols" localSheetId="1" hidden="1">'08.08'!$B:$H,'08.08'!$J:$T,'08.08'!$V:$V,'08.08'!$Z:$Z,'08.08'!$AH:$AI,'08.08'!$AL:$AM,'08.08'!$AR:$AT</definedName>
    <definedName name="Z_EFA3296C_EA11_4228_A03B_6841E5AF5251_.wvu.Cols" localSheetId="0" hidden="1">'09.08 '!$B:$H,'09.08 '!$J:$T,'09.08 '!$V:$V,'09.08 '!$Z:$Z,'09.08 '!$AH:$AI,'09.08 '!$AL:$AM,'09.08 '!$AR:$AT</definedName>
    <definedName name="Z_EFA3296C_EA11_4228_A03B_6841E5AF5251_.wvu.FilterData" localSheetId="1" hidden="1">'08.08'!$A$6:$AV$63</definedName>
    <definedName name="Z_EFA3296C_EA11_4228_A03B_6841E5AF5251_.wvu.FilterData" localSheetId="0" hidden="1">'09.08 '!$A$6:$AV$63</definedName>
    <definedName name="Z_EFA3296C_EA11_4228_A03B_6841E5AF5251_.wvu.PrintArea" localSheetId="1" hidden="1">'08.08'!$A$1:$AR$66</definedName>
    <definedName name="Z_EFA3296C_EA11_4228_A03B_6841E5AF5251_.wvu.PrintArea" localSheetId="0" hidden="1">'09.08 '!$A$1:$AR$66</definedName>
    <definedName name="Z_EFA3296C_EA11_4228_A03B_6841E5AF5251_.wvu.PrintTitles" localSheetId="1" hidden="1">'08.08'!$4:$6</definedName>
    <definedName name="Z_EFA3296C_EA11_4228_A03B_6841E5AF5251_.wvu.PrintTitles" localSheetId="0" hidden="1">'09.08 '!$4:$6</definedName>
    <definedName name="Z_EFA3296C_EA11_4228_A03B_6841E5AF5251_.wvu.Rows" localSheetId="1" hidden="1">'08.08'!$68:$69</definedName>
    <definedName name="Z_EFA3296C_EA11_4228_A03B_6841E5AF5251_.wvu.Rows" localSheetId="0" hidden="1">'09.08 '!$68:$69</definedName>
    <definedName name="_xlnm.Print_Titles" localSheetId="1">'08.08'!$4:$6</definedName>
    <definedName name="_xlnm.Print_Titles" localSheetId="0">'09.08 '!$4:$6</definedName>
    <definedName name="_xlnm.Print_Area" localSheetId="1">'08.08'!$B$1:$AQ$66</definedName>
    <definedName name="_xlnm.Print_Area" localSheetId="0">'09.08 '!$B$1:$AQ$66</definedName>
  </definedNames>
  <calcPr calcId="191029"/>
  <customWorkbookViews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9" i="5" l="1"/>
  <c r="AD48" i="5"/>
  <c r="AD40" i="5"/>
  <c r="AD39" i="5"/>
  <c r="AD28" i="5"/>
  <c r="AD26" i="5"/>
  <c r="AD25" i="5"/>
  <c r="AD20" i="5"/>
  <c r="AD19" i="5"/>
  <c r="AD16" i="5"/>
  <c r="AD11" i="5"/>
  <c r="AD10" i="5"/>
  <c r="AD41" i="5" l="1"/>
  <c r="AD43" i="5"/>
  <c r="AD15" i="5"/>
  <c r="AD14" i="5"/>
  <c r="AD12" i="5"/>
  <c r="AD58" i="5"/>
  <c r="AD18" i="5"/>
  <c r="V49" i="5"/>
  <c r="V28" i="5"/>
  <c r="V26" i="5"/>
  <c r="V18" i="5"/>
  <c r="AC54" i="5"/>
  <c r="AC53" i="5"/>
  <c r="AC50" i="5"/>
  <c r="AC48" i="5"/>
  <c r="AC45" i="5"/>
  <c r="AC43" i="5"/>
  <c r="AC40" i="5"/>
  <c r="AC39" i="5"/>
  <c r="AC38" i="5"/>
  <c r="AC37" i="5"/>
  <c r="AC31" i="5"/>
  <c r="AC29" i="5"/>
  <c r="AC27" i="5"/>
  <c r="AC25" i="5"/>
  <c r="AC24" i="5"/>
  <c r="AC20" i="5"/>
  <c r="AC19" i="5"/>
  <c r="AC17" i="5" s="1"/>
  <c r="AC9" i="5" s="1"/>
  <c r="AC16" i="5"/>
  <c r="AC14" i="5"/>
  <c r="AC12" i="5"/>
  <c r="AC10" i="5"/>
  <c r="AC23" i="5" l="1"/>
  <c r="AC22" i="5" s="1"/>
  <c r="AC7" i="5" s="1"/>
  <c r="AC8" i="5" s="1"/>
  <c r="AE63" i="5"/>
  <c r="Y49" i="5" l="1"/>
  <c r="V17" i="5"/>
  <c r="AD50" i="5"/>
  <c r="AG11" i="5"/>
  <c r="AF10" i="5"/>
  <c r="Y57" i="5"/>
  <c r="V50" i="5"/>
  <c r="Y48" i="5"/>
  <c r="Y40" i="5"/>
  <c r="V33" i="5"/>
  <c r="Y33" i="5" s="1"/>
  <c r="V31" i="5"/>
  <c r="Y16" i="5"/>
  <c r="AB66" i="5"/>
  <c r="AM63" i="5"/>
  <c r="Q63" i="5"/>
  <c r="AS62" i="5"/>
  <c r="AM62" i="5"/>
  <c r="AG62" i="5"/>
  <c r="AF62" i="5"/>
  <c r="AR62" i="5" s="1"/>
  <c r="Y62" i="5"/>
  <c r="U62" i="5"/>
  <c r="R62" i="5"/>
  <c r="P62" i="5"/>
  <c r="M62" i="5"/>
  <c r="K62" i="5"/>
  <c r="K54" i="5" s="1"/>
  <c r="AS61" i="5"/>
  <c r="AM61" i="5"/>
  <c r="AG61" i="5"/>
  <c r="AF61" i="5"/>
  <c r="AT61" i="5" s="1"/>
  <c r="Y61" i="5"/>
  <c r="AP61" i="5" s="1"/>
  <c r="U61" i="5"/>
  <c r="R61" i="5"/>
  <c r="P61" i="5"/>
  <c r="M61" i="5"/>
  <c r="K61" i="5"/>
  <c r="AM60" i="5"/>
  <c r="AG60" i="5"/>
  <c r="AF60" i="5"/>
  <c r="AP60" i="5" s="1"/>
  <c r="Y60" i="5"/>
  <c r="AM59" i="5"/>
  <c r="AG59" i="5"/>
  <c r="AF59" i="5"/>
  <c r="AS59" i="5" s="1"/>
  <c r="Y59" i="5"/>
  <c r="U59" i="5"/>
  <c r="R59" i="5"/>
  <c r="P59" i="5"/>
  <c r="K59" i="5"/>
  <c r="AT58" i="5"/>
  <c r="AM58" i="5"/>
  <c r="AG58" i="5"/>
  <c r="AF58" i="5"/>
  <c r="AP58" i="5" s="1"/>
  <c r="Y58" i="5"/>
  <c r="U58" i="5"/>
  <c r="R58" i="5"/>
  <c r="P58" i="5"/>
  <c r="M58" i="5"/>
  <c r="K58" i="5"/>
  <c r="AT57" i="5"/>
  <c r="AM57" i="5"/>
  <c r="AG57" i="5"/>
  <c r="AF57" i="5"/>
  <c r="AN57" i="5" s="1"/>
  <c r="U57" i="5"/>
  <c r="R57" i="5"/>
  <c r="P57" i="5"/>
  <c r="M57" i="5"/>
  <c r="K57" i="5"/>
  <c r="AT56" i="5"/>
  <c r="AM56" i="5"/>
  <c r="AG56" i="5"/>
  <c r="AF56" i="5"/>
  <c r="AR56" i="5" s="1"/>
  <c r="Y56" i="5"/>
  <c r="U56" i="5"/>
  <c r="R56" i="5"/>
  <c r="P56" i="5"/>
  <c r="M56" i="5"/>
  <c r="M54" i="5" s="1"/>
  <c r="K56" i="5"/>
  <c r="AM55" i="5"/>
  <c r="AG55" i="5"/>
  <c r="AF55" i="5"/>
  <c r="AN55" i="5" s="1"/>
  <c r="Y55" i="5"/>
  <c r="U55" i="5"/>
  <c r="R55" i="5"/>
  <c r="R54" i="5" s="1"/>
  <c r="P55" i="5"/>
  <c r="P54" i="5" s="1"/>
  <c r="M55" i="5"/>
  <c r="K55" i="5"/>
  <c r="AM54" i="5"/>
  <c r="AD54" i="5"/>
  <c r="AB54" i="5"/>
  <c r="AA54" i="5"/>
  <c r="Z54" i="5"/>
  <c r="X54" i="5"/>
  <c r="W54" i="5"/>
  <c r="V54" i="5"/>
  <c r="U54" i="5"/>
  <c r="T54" i="5"/>
  <c r="S54" i="5"/>
  <c r="O54" i="5"/>
  <c r="N54" i="5"/>
  <c r="L54" i="5"/>
  <c r="J54" i="5"/>
  <c r="AT53" i="5"/>
  <c r="AM53" i="5"/>
  <c r="AG53" i="5"/>
  <c r="AF53" i="5"/>
  <c r="AN53" i="5" s="1"/>
  <c r="Y53" i="5"/>
  <c r="U53" i="5"/>
  <c r="R53" i="5"/>
  <c r="P53" i="5"/>
  <c r="K53" i="5"/>
  <c r="AG52" i="5"/>
  <c r="AF52" i="5"/>
  <c r="AN52" i="5" s="1"/>
  <c r="Y52" i="5"/>
  <c r="U52" i="5"/>
  <c r="AM51" i="5"/>
  <c r="AG51" i="5"/>
  <c r="AF51" i="5"/>
  <c r="Y51" i="5"/>
  <c r="U51" i="5"/>
  <c r="U50" i="5" s="1"/>
  <c r="R51" i="5"/>
  <c r="R50" i="5" s="1"/>
  <c r="P51" i="5"/>
  <c r="P50" i="5" s="1"/>
  <c r="M51" i="5"/>
  <c r="K51" i="5"/>
  <c r="AM50" i="5"/>
  <c r="AB50" i="5"/>
  <c r="AA50" i="5"/>
  <c r="Z50" i="5"/>
  <c r="X50" i="5"/>
  <c r="W50" i="5"/>
  <c r="T50" i="5"/>
  <c r="S50" i="5"/>
  <c r="O50" i="5"/>
  <c r="N50" i="5"/>
  <c r="L50" i="5"/>
  <c r="J50" i="5"/>
  <c r="AM49" i="5"/>
  <c r="AG49" i="5"/>
  <c r="AF49" i="5"/>
  <c r="AO49" i="5" s="1"/>
  <c r="U49" i="5"/>
  <c r="R49" i="5"/>
  <c r="O49" i="5"/>
  <c r="P49" i="5" s="1"/>
  <c r="M49" i="5"/>
  <c r="K49" i="5"/>
  <c r="AM48" i="5"/>
  <c r="AG48" i="5"/>
  <c r="AF48" i="5"/>
  <c r="U48" i="5"/>
  <c r="R48" i="5"/>
  <c r="P48" i="5"/>
  <c r="M48" i="5"/>
  <c r="K48" i="5"/>
  <c r="AM47" i="5"/>
  <c r="AG47" i="5"/>
  <c r="AF47" i="5"/>
  <c r="Y47" i="5"/>
  <c r="U47" i="5"/>
  <c r="R47" i="5"/>
  <c r="P47" i="5"/>
  <c r="M47" i="5"/>
  <c r="K47" i="5"/>
  <c r="AM46" i="5"/>
  <c r="AG46" i="5"/>
  <c r="AF46" i="5"/>
  <c r="AT46" i="5" s="1"/>
  <c r="Y46" i="5"/>
  <c r="U46" i="5"/>
  <c r="U45" i="5" s="1"/>
  <c r="R46" i="5"/>
  <c r="R45" i="5" s="1"/>
  <c r="P46" i="5"/>
  <c r="M46" i="5"/>
  <c r="AS46" i="5" s="1"/>
  <c r="K46" i="5"/>
  <c r="AM45" i="5"/>
  <c r="AD45" i="5"/>
  <c r="AG45" i="5" s="1"/>
  <c r="AB45" i="5"/>
  <c r="AA45" i="5"/>
  <c r="Z45" i="5"/>
  <c r="X45" i="5"/>
  <c r="V45" i="5"/>
  <c r="T45" i="5"/>
  <c r="S45" i="5"/>
  <c r="O45" i="5"/>
  <c r="N45" i="5"/>
  <c r="L45" i="5"/>
  <c r="J45" i="5"/>
  <c r="AM44" i="5"/>
  <c r="AG44" i="5"/>
  <c r="AF44" i="5"/>
  <c r="Y44" i="5"/>
  <c r="U44" i="5"/>
  <c r="R44" i="5"/>
  <c r="P44" i="5"/>
  <c r="M44" i="5"/>
  <c r="K44" i="5"/>
  <c r="AG43" i="5"/>
  <c r="AF43" i="5"/>
  <c r="Y43" i="5"/>
  <c r="U43" i="5"/>
  <c r="R43" i="5"/>
  <c r="P43" i="5"/>
  <c r="AG42" i="5"/>
  <c r="AF42" i="5"/>
  <c r="AJ42" i="5" s="1"/>
  <c r="Y42" i="5"/>
  <c r="S42" i="5"/>
  <c r="AG41" i="5"/>
  <c r="AF41" i="5"/>
  <c r="Y41" i="5"/>
  <c r="AG40" i="5"/>
  <c r="AF40" i="5"/>
  <c r="AI40" i="5" s="1"/>
  <c r="U40" i="5"/>
  <c r="S40" i="5"/>
  <c r="R40" i="5"/>
  <c r="P40" i="5"/>
  <c r="AG39" i="5"/>
  <c r="AF39" i="5"/>
  <c r="AH39" i="5" s="1"/>
  <c r="U39" i="5"/>
  <c r="U38" i="5" s="1"/>
  <c r="U37" i="5" s="1"/>
  <c r="R39" i="5"/>
  <c r="P39" i="5"/>
  <c r="P38" i="5" s="1"/>
  <c r="P37" i="5" s="1"/>
  <c r="AM38" i="5"/>
  <c r="AD38" i="5"/>
  <c r="AD37" i="5" s="1"/>
  <c r="AB38" i="5"/>
  <c r="AB37" i="5" s="1"/>
  <c r="AA38" i="5"/>
  <c r="Z38" i="5"/>
  <c r="Z37" i="5" s="1"/>
  <c r="X38" i="5"/>
  <c r="X37" i="5" s="1"/>
  <c r="T38" i="5"/>
  <c r="T37" i="5" s="1"/>
  <c r="S38" i="5"/>
  <c r="S37" i="5" s="1"/>
  <c r="M38" i="5"/>
  <c r="K38" i="5"/>
  <c r="K37" i="5" s="1"/>
  <c r="AM37" i="5"/>
  <c r="AA37" i="5"/>
  <c r="O37" i="5"/>
  <c r="N37" i="5"/>
  <c r="L37" i="5"/>
  <c r="J37" i="5"/>
  <c r="AM36" i="5"/>
  <c r="AG36" i="5"/>
  <c r="AF36" i="5"/>
  <c r="Y36" i="5"/>
  <c r="U36" i="5"/>
  <c r="R36" i="5"/>
  <c r="P36" i="5"/>
  <c r="M36" i="5"/>
  <c r="K36" i="5"/>
  <c r="AM35" i="5"/>
  <c r="AG35" i="5"/>
  <c r="AF35" i="5"/>
  <c r="AT35" i="5" s="1"/>
  <c r="AT31" i="5" s="1"/>
  <c r="Y35" i="5"/>
  <c r="U35" i="5"/>
  <c r="R35" i="5"/>
  <c r="P35" i="5"/>
  <c r="P31" i="5" s="1"/>
  <c r="M35" i="5"/>
  <c r="K35" i="5"/>
  <c r="AG34" i="5"/>
  <c r="AF34" i="5"/>
  <c r="AJ34" i="5" s="1"/>
  <c r="Y34" i="5"/>
  <c r="U34" i="5"/>
  <c r="AG33" i="5"/>
  <c r="AF33" i="5"/>
  <c r="AO33" i="5" s="1"/>
  <c r="U33" i="5"/>
  <c r="U31" i="5" s="1"/>
  <c r="AG32" i="5"/>
  <c r="AF32" i="5"/>
  <c r="AN32" i="5" s="1"/>
  <c r="Y32" i="5"/>
  <c r="U32" i="5"/>
  <c r="AM31" i="5"/>
  <c r="AD31" i="5"/>
  <c r="AB31" i="5"/>
  <c r="AA31" i="5"/>
  <c r="Z31" i="5"/>
  <c r="X31" i="5"/>
  <c r="W31" i="5"/>
  <c r="T31" i="5"/>
  <c r="S31" i="5"/>
  <c r="R31" i="5"/>
  <c r="O31" i="5"/>
  <c r="N31" i="5"/>
  <c r="M31" i="5"/>
  <c r="L31" i="5"/>
  <c r="K31" i="5"/>
  <c r="J31" i="5"/>
  <c r="AM30" i="5"/>
  <c r="AG30" i="5"/>
  <c r="AF30" i="5"/>
  <c r="AK30" i="5" s="1"/>
  <c r="Y30" i="5"/>
  <c r="U30" i="5"/>
  <c r="U29" i="5" s="1"/>
  <c r="R30" i="5"/>
  <c r="R29" i="5" s="1"/>
  <c r="O30" i="5"/>
  <c r="P30" i="5" s="1"/>
  <c r="P29" i="5" s="1"/>
  <c r="M30" i="5"/>
  <c r="K30" i="5"/>
  <c r="K29" i="5" s="1"/>
  <c r="AM29" i="5"/>
  <c r="AD29" i="5"/>
  <c r="AG29" i="5" s="1"/>
  <c r="AB29" i="5"/>
  <c r="AA29" i="5"/>
  <c r="Z29" i="5"/>
  <c r="Z23" i="5" s="1"/>
  <c r="Z22" i="5" s="1"/>
  <c r="X29" i="5"/>
  <c r="X23" i="5" s="1"/>
  <c r="X22" i="5" s="1"/>
  <c r="V29" i="5"/>
  <c r="T29" i="5"/>
  <c r="S29" i="5"/>
  <c r="O29" i="5"/>
  <c r="O23" i="5" s="1"/>
  <c r="N29" i="5"/>
  <c r="N23" i="5" s="1"/>
  <c r="N7" i="5" s="1"/>
  <c r="L29" i="5"/>
  <c r="L23" i="5" s="1"/>
  <c r="J29" i="5"/>
  <c r="AG28" i="5"/>
  <c r="AF28" i="5"/>
  <c r="AO28" i="5" s="1"/>
  <c r="AA28" i="5"/>
  <c r="AA27" i="5" s="1"/>
  <c r="AA23" i="5" s="1"/>
  <c r="Y28" i="5"/>
  <c r="Y27" i="5" s="1"/>
  <c r="U28" i="5"/>
  <c r="U27" i="5" s="1"/>
  <c r="S28" i="5"/>
  <c r="S27" i="5" s="1"/>
  <c r="R28" i="5"/>
  <c r="AM27" i="5"/>
  <c r="AD27" i="5"/>
  <c r="AB27" i="5"/>
  <c r="Z27" i="5"/>
  <c r="V27" i="5"/>
  <c r="T27" i="5"/>
  <c r="R27" i="5"/>
  <c r="P27" i="5"/>
  <c r="M27" i="5"/>
  <c r="K27" i="5"/>
  <c r="AG26" i="5"/>
  <c r="AF26" i="5"/>
  <c r="AJ26" i="5" s="1"/>
  <c r="AA26" i="5"/>
  <c r="Y26" i="5"/>
  <c r="S26" i="5"/>
  <c r="S24" i="5" s="1"/>
  <c r="R26" i="5"/>
  <c r="AG25" i="5"/>
  <c r="AF25" i="5"/>
  <c r="AH25" i="5" s="1"/>
  <c r="Y25" i="5"/>
  <c r="S25" i="5"/>
  <c r="R25" i="5"/>
  <c r="AM24" i="5"/>
  <c r="AD24" i="5"/>
  <c r="AB24" i="5"/>
  <c r="AB23" i="5" s="1"/>
  <c r="AB22" i="5" s="1"/>
  <c r="AA24" i="5"/>
  <c r="Z24" i="5"/>
  <c r="X24" i="5"/>
  <c r="V24" i="5"/>
  <c r="U24" i="5"/>
  <c r="T24" i="5"/>
  <c r="R24" i="5"/>
  <c r="P24" i="5"/>
  <c r="M24" i="5"/>
  <c r="K24" i="5"/>
  <c r="AM23" i="5"/>
  <c r="P23" i="5"/>
  <c r="J23" i="5"/>
  <c r="AM22" i="5"/>
  <c r="AF21" i="5"/>
  <c r="AJ21" i="5" s="1"/>
  <c r="Y21" i="5"/>
  <c r="U21" i="5"/>
  <c r="AM20" i="5"/>
  <c r="AG20" i="5"/>
  <c r="AF20" i="5"/>
  <c r="AN20" i="5" s="1"/>
  <c r="Y20" i="5"/>
  <c r="U20" i="5"/>
  <c r="R20" i="5"/>
  <c r="P20" i="5"/>
  <c r="M20" i="5"/>
  <c r="K20" i="5"/>
  <c r="AM19" i="5"/>
  <c r="AG19" i="5"/>
  <c r="AF19" i="5"/>
  <c r="AL19" i="5" s="1"/>
  <c r="Y19" i="5"/>
  <c r="U19" i="5"/>
  <c r="U17" i="5" s="1"/>
  <c r="S19" i="5"/>
  <c r="R19" i="5"/>
  <c r="P19" i="5"/>
  <c r="P17" i="5" s="1"/>
  <c r="M19" i="5"/>
  <c r="K19" i="5"/>
  <c r="AM18" i="5"/>
  <c r="AG18" i="5"/>
  <c r="AF18" i="5"/>
  <c r="AK18" i="5" s="1"/>
  <c r="U18" i="5"/>
  <c r="S18" i="5"/>
  <c r="R18" i="5"/>
  <c r="R17" i="5" s="1"/>
  <c r="P18" i="5"/>
  <c r="M18" i="5"/>
  <c r="K18" i="5"/>
  <c r="AM17" i="5"/>
  <c r="AD17" i="5"/>
  <c r="AG17" i="5" s="1"/>
  <c r="AB17" i="5"/>
  <c r="AA17" i="5"/>
  <c r="AA9" i="5" s="1"/>
  <c r="Z17" i="5"/>
  <c r="Z9" i="5" s="1"/>
  <c r="Z7" i="5" s="1"/>
  <c r="Z8" i="5" s="1"/>
  <c r="X17" i="5"/>
  <c r="T17" i="5"/>
  <c r="S17" i="5"/>
  <c r="O17" i="5"/>
  <c r="N17" i="5"/>
  <c r="M17" i="5"/>
  <c r="L17" i="5"/>
  <c r="J17" i="5"/>
  <c r="AM16" i="5"/>
  <c r="AG16" i="5"/>
  <c r="AF16" i="5"/>
  <c r="AN16" i="5" s="1"/>
  <c r="U16" i="5"/>
  <c r="R16" i="5"/>
  <c r="P16" i="5"/>
  <c r="M16" i="5"/>
  <c r="K16" i="5"/>
  <c r="AM15" i="5"/>
  <c r="AG15" i="5"/>
  <c r="AF15" i="5"/>
  <c r="AN15" i="5" s="1"/>
  <c r="Y15" i="5"/>
  <c r="U15" i="5"/>
  <c r="R15" i="5"/>
  <c r="P15" i="5"/>
  <c r="M15" i="5"/>
  <c r="K15" i="5"/>
  <c r="AM14" i="5"/>
  <c r="AG14" i="5"/>
  <c r="AF14" i="5"/>
  <c r="AT14" i="5" s="1"/>
  <c r="Y14" i="5"/>
  <c r="U14" i="5"/>
  <c r="R14" i="5"/>
  <c r="P14" i="5"/>
  <c r="M14" i="5"/>
  <c r="K14" i="5"/>
  <c r="AM13" i="5"/>
  <c r="AG13" i="5"/>
  <c r="AF13" i="5"/>
  <c r="AH13" i="5" s="1"/>
  <c r="Y13" i="5"/>
  <c r="U13" i="5"/>
  <c r="R13" i="5" s="1"/>
  <c r="P13" i="5"/>
  <c r="M13" i="5"/>
  <c r="K13" i="5"/>
  <c r="AM12" i="5"/>
  <c r="Y12" i="5"/>
  <c r="U12" i="5"/>
  <c r="R12" i="5"/>
  <c r="P12" i="5"/>
  <c r="M12" i="5"/>
  <c r="AS12" i="5" s="1"/>
  <c r="K12" i="5"/>
  <c r="AM11" i="5"/>
  <c r="AF11" i="5"/>
  <c r="Y11" i="5"/>
  <c r="U11" i="5"/>
  <c r="R11" i="5"/>
  <c r="P11" i="5"/>
  <c r="M11" i="5"/>
  <c r="K11" i="5"/>
  <c r="AT10" i="5"/>
  <c r="AM10" i="5"/>
  <c r="AG10" i="5"/>
  <c r="Y10" i="5"/>
  <c r="U10" i="5"/>
  <c r="R10" i="5"/>
  <c r="P10" i="5"/>
  <c r="M10" i="5"/>
  <c r="K10" i="5"/>
  <c r="AB9" i="5"/>
  <c r="AB7" i="5" s="1"/>
  <c r="AB8" i="5" s="1"/>
  <c r="X9" i="5"/>
  <c r="T9" i="5"/>
  <c r="S9" i="5"/>
  <c r="AM7" i="5"/>
  <c r="J7" i="5"/>
  <c r="AC54" i="4"/>
  <c r="AC50" i="4"/>
  <c r="AC45" i="4"/>
  <c r="AC38" i="4"/>
  <c r="AC37" i="4"/>
  <c r="AC31" i="4"/>
  <c r="AC29" i="4"/>
  <c r="AC27" i="4"/>
  <c r="AC24" i="4"/>
  <c r="AC23" i="4" s="1"/>
  <c r="AC22" i="4" s="1"/>
  <c r="AC17" i="4"/>
  <c r="AC9" i="4"/>
  <c r="AC7" i="4" s="1"/>
  <c r="AC8" i="4" s="1"/>
  <c r="AA54" i="4"/>
  <c r="AA50" i="4"/>
  <c r="AA45" i="4"/>
  <c r="AA38" i="4"/>
  <c r="AA37" i="4" s="1"/>
  <c r="AA31" i="4"/>
  <c r="AA29" i="4"/>
  <c r="AA28" i="4"/>
  <c r="AA27" i="4" s="1"/>
  <c r="AA26" i="4"/>
  <c r="AA24" i="4" s="1"/>
  <c r="AA23" i="4" s="1"/>
  <c r="AA22" i="4" s="1"/>
  <c r="AA17" i="4"/>
  <c r="AA9" i="4"/>
  <c r="AB54" i="4"/>
  <c r="AB50" i="4"/>
  <c r="AB45" i="4"/>
  <c r="AB38" i="4"/>
  <c r="AB37" i="4" s="1"/>
  <c r="AB31" i="4"/>
  <c r="AB29" i="4"/>
  <c r="AB27" i="4"/>
  <c r="AB24" i="4"/>
  <c r="AB23" i="4" s="1"/>
  <c r="AB22" i="4" s="1"/>
  <c r="AB17" i="4"/>
  <c r="AB9" i="4"/>
  <c r="U23" i="5" l="1"/>
  <c r="U22" i="5" s="1"/>
  <c r="L7" i="5"/>
  <c r="K23" i="5"/>
  <c r="X7" i="5"/>
  <c r="X8" i="5" s="1"/>
  <c r="M45" i="5"/>
  <c r="AP41" i="5"/>
  <c r="P45" i="5"/>
  <c r="P7" i="5" s="1"/>
  <c r="O7" i="5"/>
  <c r="O8" i="5" s="1"/>
  <c r="U7" i="5"/>
  <c r="U8" i="5" s="1"/>
  <c r="R38" i="5"/>
  <c r="R37" i="5" s="1"/>
  <c r="AQ44" i="5"/>
  <c r="AR51" i="5"/>
  <c r="AQ51" i="5"/>
  <c r="K17" i="5"/>
  <c r="K7" i="5"/>
  <c r="K63" i="5" s="1"/>
  <c r="AR47" i="5"/>
  <c r="K50" i="5"/>
  <c r="S23" i="5"/>
  <c r="S22" i="5" s="1"/>
  <c r="S7" i="5" s="1"/>
  <c r="S8" i="5" s="1"/>
  <c r="T23" i="5"/>
  <c r="T22" i="5" s="1"/>
  <c r="T7" i="5" s="1"/>
  <c r="T8" i="5" s="1"/>
  <c r="K45" i="5"/>
  <c r="AS49" i="5"/>
  <c r="Y45" i="5"/>
  <c r="AS13" i="5"/>
  <c r="AH60" i="5"/>
  <c r="AJ13" i="5"/>
  <c r="AQ52" i="5"/>
  <c r="AI13" i="5"/>
  <c r="AF27" i="5"/>
  <c r="AR27" i="5" s="1"/>
  <c r="AL13" i="5"/>
  <c r="AS30" i="5"/>
  <c r="AH30" i="5"/>
  <c r="AN30" i="5"/>
  <c r="AS35" i="5"/>
  <c r="AK47" i="5"/>
  <c r="AL58" i="5"/>
  <c r="AP59" i="5"/>
  <c r="AL35" i="5"/>
  <c r="AN13" i="5"/>
  <c r="AT30" i="5"/>
  <c r="AT29" i="5" s="1"/>
  <c r="AL18" i="5"/>
  <c r="AP34" i="5"/>
  <c r="AJ41" i="5"/>
  <c r="AQ58" i="5"/>
  <c r="AP35" i="5"/>
  <c r="AO41" i="5"/>
  <c r="AI25" i="5"/>
  <c r="AQ34" i="5"/>
  <c r="AK34" i="5"/>
  <c r="AI39" i="5"/>
  <c r="AH46" i="5"/>
  <c r="AH59" i="5"/>
  <c r="AH61" i="5"/>
  <c r="AL46" i="5"/>
  <c r="AR13" i="5"/>
  <c r="AN59" i="5"/>
  <c r="AO59" i="5"/>
  <c r="AT13" i="5"/>
  <c r="AL30" i="5"/>
  <c r="AO34" i="5"/>
  <c r="AN46" i="5"/>
  <c r="AL61" i="5"/>
  <c r="AH18" i="5"/>
  <c r="AH35" i="5"/>
  <c r="AQ41" i="5"/>
  <c r="AR46" i="5"/>
  <c r="AH62" i="5"/>
  <c r="AS19" i="5"/>
  <c r="AO53" i="5"/>
  <c r="AO40" i="5"/>
  <c r="AO58" i="5"/>
  <c r="AI58" i="5"/>
  <c r="AJ58" i="5"/>
  <c r="AQ56" i="5"/>
  <c r="AO55" i="5"/>
  <c r="AH55" i="5"/>
  <c r="AJ55" i="5"/>
  <c r="AH53" i="5"/>
  <c r="AG50" i="5"/>
  <c r="AS51" i="5"/>
  <c r="AH49" i="5"/>
  <c r="AH47" i="5"/>
  <c r="AL47" i="5"/>
  <c r="AN47" i="5"/>
  <c r="AQ47" i="5"/>
  <c r="AS47" i="5"/>
  <c r="AT47" i="5"/>
  <c r="AT45" i="5" s="1"/>
  <c r="AH40" i="5"/>
  <c r="AS36" i="5"/>
  <c r="AK32" i="5"/>
  <c r="AF24" i="5"/>
  <c r="AR24" i="5" s="1"/>
  <c r="AJ25" i="5"/>
  <c r="AS18" i="5"/>
  <c r="AJ18" i="5"/>
  <c r="AP52" i="5"/>
  <c r="AP36" i="5"/>
  <c r="Y18" i="5"/>
  <c r="Y17" i="5" s="1"/>
  <c r="Y9" i="5" s="1"/>
  <c r="AP13" i="5"/>
  <c r="AP11" i="5"/>
  <c r="AS56" i="5"/>
  <c r="AI56" i="5"/>
  <c r="AK56" i="5"/>
  <c r="AD9" i="5"/>
  <c r="AG9" i="5" s="1"/>
  <c r="AG12" i="5"/>
  <c r="AF12" i="5"/>
  <c r="AL12" i="5" s="1"/>
  <c r="AL10" i="5"/>
  <c r="AS10" i="5"/>
  <c r="AS57" i="5"/>
  <c r="AK55" i="5"/>
  <c r="AR55" i="5"/>
  <c r="AS55" i="5"/>
  <c r="AJ53" i="5"/>
  <c r="AK53" i="5"/>
  <c r="AP53" i="5"/>
  <c r="AH51" i="5"/>
  <c r="AT51" i="5"/>
  <c r="AT50" i="5" s="1"/>
  <c r="AP49" i="5"/>
  <c r="AN44" i="5"/>
  <c r="AP44" i="5"/>
  <c r="AT44" i="5"/>
  <c r="AH44" i="5"/>
  <c r="AJ44" i="5"/>
  <c r="AL44" i="5"/>
  <c r="AK42" i="5"/>
  <c r="AH41" i="5"/>
  <c r="AK41" i="5"/>
  <c r="AG38" i="5"/>
  <c r="AJ40" i="5"/>
  <c r="AK40" i="5"/>
  <c r="AJ39" i="5"/>
  <c r="AN39" i="5"/>
  <c r="AO39" i="5"/>
  <c r="AQ36" i="5"/>
  <c r="AH36" i="5"/>
  <c r="AP33" i="5"/>
  <c r="AK33" i="5"/>
  <c r="AN33" i="5"/>
  <c r="AJ33" i="5"/>
  <c r="AF31" i="5"/>
  <c r="AL31" i="5" s="1"/>
  <c r="AG31" i="5"/>
  <c r="AO32" i="5"/>
  <c r="AD23" i="5"/>
  <c r="AG23" i="5" s="1"/>
  <c r="AH28" i="5"/>
  <c r="AI28" i="5"/>
  <c r="AG27" i="5"/>
  <c r="AG24" i="5"/>
  <c r="AI26" i="5"/>
  <c r="AK26" i="5"/>
  <c r="AK25" i="5"/>
  <c r="AN25" i="5"/>
  <c r="AO25" i="5"/>
  <c r="AT20" i="5"/>
  <c r="AH20" i="5"/>
  <c r="AI20" i="5"/>
  <c r="AO20" i="5"/>
  <c r="AJ20" i="5"/>
  <c r="AK20" i="5"/>
  <c r="AL20" i="5"/>
  <c r="AP20" i="5"/>
  <c r="AT19" i="5"/>
  <c r="AO18" i="5"/>
  <c r="AR18" i="5"/>
  <c r="AT18" i="5"/>
  <c r="AS16" i="5"/>
  <c r="AK15" i="5"/>
  <c r="AP15" i="5"/>
  <c r="AS15" i="5"/>
  <c r="AH15" i="5"/>
  <c r="AH14" i="5"/>
  <c r="AI14" i="5"/>
  <c r="AK14" i="5"/>
  <c r="AS14" i="5"/>
  <c r="AQ14" i="5"/>
  <c r="AJ12" i="5"/>
  <c r="AH10" i="5"/>
  <c r="AI10" i="5"/>
  <c r="AK10" i="5"/>
  <c r="Y50" i="5"/>
  <c r="V38" i="5"/>
  <c r="V37" i="5" s="1"/>
  <c r="Y39" i="5"/>
  <c r="AP39" i="5" s="1"/>
  <c r="Y31" i="5"/>
  <c r="V23" i="5"/>
  <c r="AQ28" i="5"/>
  <c r="AP28" i="5"/>
  <c r="Y24" i="5"/>
  <c r="AP25" i="5"/>
  <c r="AQ25" i="5"/>
  <c r="AQ20" i="5"/>
  <c r="V9" i="5"/>
  <c r="AQ16" i="5"/>
  <c r="U9" i="5"/>
  <c r="AO11" i="5"/>
  <c r="AR11" i="5"/>
  <c r="AJ11" i="5"/>
  <c r="AQ11" i="5"/>
  <c r="AI11" i="5"/>
  <c r="AS20" i="5"/>
  <c r="AR20" i="5"/>
  <c r="AA22" i="5"/>
  <c r="AA7" i="5" s="1"/>
  <c r="AA8" i="5" s="1"/>
  <c r="AT48" i="5"/>
  <c r="AL48" i="5"/>
  <c r="AK48" i="5"/>
  <c r="AR48" i="5"/>
  <c r="AJ48" i="5"/>
  <c r="AQ48" i="5"/>
  <c r="AI48" i="5"/>
  <c r="AP48" i="5"/>
  <c r="AH48" i="5"/>
  <c r="AO48" i="5"/>
  <c r="L63" i="5"/>
  <c r="X63" i="5"/>
  <c r="Y29" i="5"/>
  <c r="AQ30" i="5"/>
  <c r="AS11" i="5"/>
  <c r="AK19" i="5"/>
  <c r="AR19" i="5"/>
  <c r="AJ19" i="5"/>
  <c r="AF17" i="5"/>
  <c r="AS17" i="5" s="1"/>
  <c r="AQ19" i="5"/>
  <c r="AI19" i="5"/>
  <c r="AP19" i="5"/>
  <c r="AH19" i="5"/>
  <c r="AO19" i="5"/>
  <c r="N63" i="5"/>
  <c r="Z63" i="5"/>
  <c r="J63" i="5"/>
  <c r="AH11" i="5"/>
  <c r="AH21" i="5"/>
  <c r="AP21" i="5"/>
  <c r="AN21" i="5"/>
  <c r="O63" i="5"/>
  <c r="AA63" i="5"/>
  <c r="AS58" i="5"/>
  <c r="AR58" i="5"/>
  <c r="AK11" i="5"/>
  <c r="AR16" i="5"/>
  <c r="AJ16" i="5"/>
  <c r="AP16" i="5"/>
  <c r="AH16" i="5"/>
  <c r="AO16" i="5"/>
  <c r="AL16" i="5"/>
  <c r="AQ43" i="5"/>
  <c r="AP43" i="5"/>
  <c r="AN43" i="5"/>
  <c r="AJ43" i="5"/>
  <c r="AF38" i="5"/>
  <c r="AS38" i="5" s="1"/>
  <c r="AH43" i="5"/>
  <c r="AS48" i="5"/>
  <c r="AN48" i="5"/>
  <c r="S63" i="5"/>
  <c r="AB63" i="5"/>
  <c r="AQ10" i="5"/>
  <c r="T63" i="5"/>
  <c r="AG54" i="5"/>
  <c r="AL57" i="5"/>
  <c r="AK57" i="5"/>
  <c r="AR57" i="5"/>
  <c r="AJ57" i="5"/>
  <c r="AQ57" i="5"/>
  <c r="AI57" i="5"/>
  <c r="AP57" i="5"/>
  <c r="AH57" i="5"/>
  <c r="AO57" i="5"/>
  <c r="AL11" i="5"/>
  <c r="AP14" i="5"/>
  <c r="AO15" i="5"/>
  <c r="AT15" i="5"/>
  <c r="AL15" i="5"/>
  <c r="AR15" i="5"/>
  <c r="AJ15" i="5"/>
  <c r="AQ15" i="5"/>
  <c r="AI15" i="5"/>
  <c r="AI16" i="5"/>
  <c r="AN19" i="5"/>
  <c r="U63" i="5"/>
  <c r="AP10" i="5"/>
  <c r="AN11" i="5"/>
  <c r="AK16" i="5"/>
  <c r="R23" i="5"/>
  <c r="R7" i="5" s="1"/>
  <c r="AS44" i="5"/>
  <c r="AR44" i="5"/>
  <c r="M37" i="5"/>
  <c r="Y54" i="5"/>
  <c r="AN10" i="5"/>
  <c r="AN14" i="5"/>
  <c r="AN26" i="5"/>
  <c r="AL27" i="5"/>
  <c r="AO30" i="5"/>
  <c r="AP32" i="5"/>
  <c r="AJ36" i="5"/>
  <c r="AR36" i="5"/>
  <c r="AN42" i="5"/>
  <c r="AP46" i="5"/>
  <c r="AI49" i="5"/>
  <c r="AQ49" i="5"/>
  <c r="AF50" i="5"/>
  <c r="AJ51" i="5"/>
  <c r="AP55" i="5"/>
  <c r="AL56" i="5"/>
  <c r="AQ59" i="5"/>
  <c r="AJ60" i="5"/>
  <c r="AJ62" i="5"/>
  <c r="AT62" i="5"/>
  <c r="AO10" i="5"/>
  <c r="AO14" i="5"/>
  <c r="AN18" i="5"/>
  <c r="AO26" i="5"/>
  <c r="AP30" i="5"/>
  <c r="AQ32" i="5"/>
  <c r="AN34" i="5"/>
  <c r="AN35" i="5"/>
  <c r="AK36" i="5"/>
  <c r="AK39" i="5"/>
  <c r="AN40" i="5"/>
  <c r="AI41" i="5"/>
  <c r="AO42" i="5"/>
  <c r="AQ46" i="5"/>
  <c r="AJ49" i="5"/>
  <c r="AR49" i="5"/>
  <c r="AL51" i="5"/>
  <c r="M53" i="5"/>
  <c r="AI53" i="5"/>
  <c r="AQ53" i="5"/>
  <c r="AF54" i="5"/>
  <c r="AS54" i="5" s="1"/>
  <c r="AI55" i="5"/>
  <c r="AQ55" i="5"/>
  <c r="AK58" i="5"/>
  <c r="AR59" i="5"/>
  <c r="AL60" i="5"/>
  <c r="AN61" i="5"/>
  <c r="AL62" i="5"/>
  <c r="AP26" i="5"/>
  <c r="AJ28" i="5"/>
  <c r="AL36" i="5"/>
  <c r="AP42" i="5"/>
  <c r="AK49" i="5"/>
  <c r="AN56" i="5"/>
  <c r="AQ26" i="5"/>
  <c r="AO27" i="5"/>
  <c r="AK28" i="5"/>
  <c r="M29" i="5"/>
  <c r="AF29" i="5"/>
  <c r="AJ30" i="5"/>
  <c r="AR30" i="5"/>
  <c r="AQ33" i="5"/>
  <c r="AQ35" i="5"/>
  <c r="AG37" i="5"/>
  <c r="AP40" i="5"/>
  <c r="AF45" i="5"/>
  <c r="AI46" i="5"/>
  <c r="AO47" i="5"/>
  <c r="AL49" i="5"/>
  <c r="AT49" i="5"/>
  <c r="AN51" i="5"/>
  <c r="AO56" i="5"/>
  <c r="AJ59" i="5"/>
  <c r="AT59" i="5"/>
  <c r="AN60" i="5"/>
  <c r="AQ61" i="5"/>
  <c r="AN62" i="5"/>
  <c r="AJ10" i="5"/>
  <c r="AR10" i="5"/>
  <c r="AJ14" i="5"/>
  <c r="AR14" i="5"/>
  <c r="AI18" i="5"/>
  <c r="AH26" i="5"/>
  <c r="AN28" i="5"/>
  <c r="AJ32" i="5"/>
  <c r="AR35" i="5"/>
  <c r="AN36" i="5"/>
  <c r="AQ40" i="5"/>
  <c r="AN41" i="5"/>
  <c r="AH42" i="5"/>
  <c r="AJ46" i="5"/>
  <c r="AP47" i="5"/>
  <c r="AP51" i="5"/>
  <c r="AJ52" i="5"/>
  <c r="AL53" i="5"/>
  <c r="AL55" i="5"/>
  <c r="AH56" i="5"/>
  <c r="AP56" i="5"/>
  <c r="AN58" i="5"/>
  <c r="AL59" i="5"/>
  <c r="AR61" i="5"/>
  <c r="AP62" i="5"/>
  <c r="AO36" i="5"/>
  <c r="AI42" i="5"/>
  <c r="AN49" i="5"/>
  <c r="AQ62" i="5"/>
  <c r="AL14" i="5"/>
  <c r="AJ35" i="5"/>
  <c r="AJ47" i="5"/>
  <c r="AJ56" i="5"/>
  <c r="AH58" i="5"/>
  <c r="AJ61" i="5"/>
  <c r="AA7" i="4"/>
  <c r="AA8" i="4" s="1"/>
  <c r="AB7" i="4"/>
  <c r="AB8" i="4" s="1"/>
  <c r="P63" i="5" l="1"/>
  <c r="P8" i="5"/>
  <c r="AN27" i="5"/>
  <c r="AQ27" i="5"/>
  <c r="AI27" i="5"/>
  <c r="AP27" i="5"/>
  <c r="AJ27" i="5"/>
  <c r="AH27" i="5"/>
  <c r="AT27" i="5"/>
  <c r="AS27" i="5"/>
  <c r="AT17" i="5"/>
  <c r="AK27" i="5"/>
  <c r="AS24" i="5"/>
  <c r="AT54" i="5"/>
  <c r="AO31" i="5"/>
  <c r="AH31" i="5"/>
  <c r="AP12" i="5"/>
  <c r="AS29" i="5"/>
  <c r="AI12" i="5"/>
  <c r="AP31" i="5"/>
  <c r="AO12" i="5"/>
  <c r="AH12" i="5"/>
  <c r="AQ12" i="5"/>
  <c r="AI24" i="5"/>
  <c r="AQ31" i="5"/>
  <c r="AP24" i="5"/>
  <c r="AF23" i="5"/>
  <c r="AI23" i="5" s="1"/>
  <c r="AK24" i="5"/>
  <c r="AJ24" i="5"/>
  <c r="AO24" i="5"/>
  <c r="AN24" i="5"/>
  <c r="AT24" i="5"/>
  <c r="AT23" i="5" s="1"/>
  <c r="AH24" i="5"/>
  <c r="AL24" i="5"/>
  <c r="AQ24" i="5"/>
  <c r="AD22" i="5"/>
  <c r="AD7" i="5" s="1"/>
  <c r="AT12" i="5"/>
  <c r="AN12" i="5"/>
  <c r="AQ18" i="5"/>
  <c r="AP18" i="5"/>
  <c r="V22" i="5"/>
  <c r="V7" i="5" s="1"/>
  <c r="V63" i="5" s="1"/>
  <c r="V66" i="5" s="1"/>
  <c r="AK12" i="5"/>
  <c r="AR12" i="5"/>
  <c r="AK31" i="5"/>
  <c r="AJ31" i="5"/>
  <c r="AR31" i="5"/>
  <c r="AN31" i="5"/>
  <c r="AS31" i="5"/>
  <c r="Y38" i="5"/>
  <c r="Y37" i="5" s="1"/>
  <c r="AQ39" i="5"/>
  <c r="Y23" i="5"/>
  <c r="T3" i="5"/>
  <c r="W9" i="5"/>
  <c r="R8" i="5"/>
  <c r="R63" i="5"/>
  <c r="AK38" i="5"/>
  <c r="AR38" i="5"/>
  <c r="AJ38" i="5"/>
  <c r="AF37" i="5"/>
  <c r="AH38" i="5"/>
  <c r="AO38" i="5"/>
  <c r="AN38" i="5"/>
  <c r="AT38" i="5"/>
  <c r="AT37" i="5" s="1"/>
  <c r="AL38" i="5"/>
  <c r="AQ17" i="5"/>
  <c r="AI17" i="5"/>
  <c r="AO17" i="5"/>
  <c r="AN17" i="5"/>
  <c r="AL17" i="5"/>
  <c r="AK17" i="5"/>
  <c r="AJ17" i="5"/>
  <c r="AH17" i="5"/>
  <c r="AP17" i="5"/>
  <c r="AR17" i="5"/>
  <c r="AL50" i="5"/>
  <c r="AK50" i="5"/>
  <c r="AJ50" i="5"/>
  <c r="AQ50" i="5"/>
  <c r="AI50" i="5"/>
  <c r="AP50" i="5"/>
  <c r="AH50" i="5"/>
  <c r="AO50" i="5"/>
  <c r="AN50" i="5"/>
  <c r="AF9" i="5"/>
  <c r="M23" i="5"/>
  <c r="AK54" i="5"/>
  <c r="AR54" i="5"/>
  <c r="AJ54" i="5"/>
  <c r="AQ54" i="5"/>
  <c r="AI54" i="5"/>
  <c r="AP54" i="5"/>
  <c r="AH54" i="5"/>
  <c r="AO54" i="5"/>
  <c r="AN54" i="5"/>
  <c r="AL54" i="5"/>
  <c r="AS53" i="5"/>
  <c r="AR53" i="5"/>
  <c r="M50" i="5"/>
  <c r="AS50" i="5" s="1"/>
  <c r="AQ45" i="5"/>
  <c r="AI45" i="5"/>
  <c r="AP45" i="5"/>
  <c r="AH45" i="5"/>
  <c r="AO45" i="5"/>
  <c r="AN45" i="5"/>
  <c r="AL45" i="5"/>
  <c r="AS45" i="5"/>
  <c r="AK45" i="5"/>
  <c r="AR45" i="5"/>
  <c r="AJ45" i="5"/>
  <c r="AR29" i="5"/>
  <c r="AJ29" i="5"/>
  <c r="AQ29" i="5"/>
  <c r="AH29" i="5"/>
  <c r="AP29" i="5"/>
  <c r="AO29" i="5"/>
  <c r="AN29" i="5"/>
  <c r="AL29" i="5"/>
  <c r="AK29" i="5"/>
  <c r="AD50" i="4"/>
  <c r="AD54" i="4"/>
  <c r="AD45" i="4"/>
  <c r="AD38" i="4"/>
  <c r="AD37" i="4" s="1"/>
  <c r="AD31" i="4"/>
  <c r="AD29" i="4"/>
  <c r="AD27" i="4"/>
  <c r="AD24" i="4"/>
  <c r="AD17" i="4"/>
  <c r="AD9" i="4" s="1"/>
  <c r="AN23" i="5" l="1"/>
  <c r="AO23" i="5"/>
  <c r="AK23" i="5"/>
  <c r="AL23" i="5"/>
  <c r="AH23" i="5"/>
  <c r="AF22" i="5"/>
  <c r="AL22" i="5" s="1"/>
  <c r="AJ23" i="5"/>
  <c r="AP38" i="5"/>
  <c r="AQ38" i="5"/>
  <c r="Y22" i="5"/>
  <c r="Y7" i="5" s="1"/>
  <c r="Y8" i="5" s="1"/>
  <c r="AR50" i="5"/>
  <c r="AS37" i="5"/>
  <c r="AT7" i="5"/>
  <c r="AT63" i="5" s="1"/>
  <c r="V65" i="5"/>
  <c r="AP23" i="5"/>
  <c r="AQ23" i="5"/>
  <c r="W7" i="5"/>
  <c r="V8" i="5"/>
  <c r="AG7" i="5"/>
  <c r="AD8" i="5"/>
  <c r="AD63" i="5"/>
  <c r="AG22" i="5"/>
  <c r="AS23" i="5"/>
  <c r="M7" i="5"/>
  <c r="AR23" i="5"/>
  <c r="AC63" i="5"/>
  <c r="AN9" i="5"/>
  <c r="AJ9" i="5"/>
  <c r="AQ9" i="5"/>
  <c r="AK9" i="5"/>
  <c r="AP9" i="5"/>
  <c r="AO9" i="5"/>
  <c r="AP37" i="5"/>
  <c r="AO37" i="5"/>
  <c r="AN37" i="5"/>
  <c r="AL37" i="5"/>
  <c r="AK37" i="5"/>
  <c r="AR37" i="5"/>
  <c r="AJ37" i="5"/>
  <c r="AQ37" i="5"/>
  <c r="AH37" i="5"/>
  <c r="AD23" i="4"/>
  <c r="AD22" i="4" s="1"/>
  <c r="AD7" i="4" s="1"/>
  <c r="AD63" i="4" s="1"/>
  <c r="AH22" i="5" l="1"/>
  <c r="AO22" i="5"/>
  <c r="AI22" i="5"/>
  <c r="AF7" i="5"/>
  <c r="AJ7" i="5" s="1"/>
  <c r="AK22" i="5"/>
  <c r="AN22" i="5"/>
  <c r="AJ22" i="5"/>
  <c r="AP22" i="5"/>
  <c r="Y63" i="5"/>
  <c r="Z3" i="5" s="1"/>
  <c r="AQ22" i="5"/>
  <c r="AG8" i="5"/>
  <c r="V3" i="5"/>
  <c r="W8" i="5"/>
  <c r="AO7" i="5"/>
  <c r="M63" i="5"/>
  <c r="AG63" i="5"/>
  <c r="AC63" i="4"/>
  <c r="AD8" i="4"/>
  <c r="AI7" i="5" l="1"/>
  <c r="AQ7" i="5"/>
  <c r="AS7" i="5"/>
  <c r="AL7" i="5"/>
  <c r="AR7" i="5"/>
  <c r="AF8" i="5"/>
  <c r="AN8" i="5" s="1"/>
  <c r="AN7" i="5"/>
  <c r="AK7" i="5"/>
  <c r="AH7" i="5"/>
  <c r="AP7" i="5"/>
  <c r="AF63" i="5"/>
  <c r="AQ63" i="5" s="1"/>
  <c r="AF10" i="4"/>
  <c r="AS63" i="5" l="1"/>
  <c r="AO63" i="5"/>
  <c r="AL63" i="5"/>
  <c r="AN63" i="5"/>
  <c r="AI8" i="5"/>
  <c r="AP8" i="5"/>
  <c r="AK8" i="5"/>
  <c r="AQ8" i="5"/>
  <c r="AJ8" i="5"/>
  <c r="AO8" i="5"/>
  <c r="AH8" i="5"/>
  <c r="AH63" i="5"/>
  <c r="AK63" i="5"/>
  <c r="AP63" i="5"/>
  <c r="AJ63" i="5"/>
  <c r="AI63" i="5"/>
  <c r="AR63" i="5"/>
  <c r="AE63" i="4"/>
  <c r="AF49" i="4" l="1"/>
  <c r="Y12" i="4"/>
  <c r="Y10" i="4" l="1"/>
  <c r="U12" i="4"/>
  <c r="AF51" i="4" l="1"/>
  <c r="Z54" i="4"/>
  <c r="X54" i="4"/>
  <c r="W54" i="4"/>
  <c r="V54" i="4"/>
  <c r="U54" i="4"/>
  <c r="AF15" i="4" l="1"/>
  <c r="AF40" i="4"/>
  <c r="AF26" i="4"/>
  <c r="AO26" i="4" s="1"/>
  <c r="AF32" i="4"/>
  <c r="AK32" i="4" s="1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O34" i="4" s="1"/>
  <c r="AF39" i="4"/>
  <c r="AF41" i="4"/>
  <c r="AF44" i="4"/>
  <c r="AK14" i="4" l="1"/>
  <c r="AO14" i="4"/>
  <c r="AG34" i="4" l="1"/>
  <c r="AG33" i="4"/>
  <c r="AG32" i="4"/>
  <c r="Y60" i="4"/>
  <c r="Y18" i="4"/>
  <c r="Y20" i="4"/>
  <c r="Y19" i="4"/>
  <c r="AQ19" i="4" s="1"/>
  <c r="Y16" i="4"/>
  <c r="AQ16" i="4" s="1"/>
  <c r="Y15" i="4"/>
  <c r="AQ15" i="4" s="1"/>
  <c r="Y14" i="4"/>
  <c r="AQ14" i="4" s="1"/>
  <c r="Y13" i="4"/>
  <c r="Y11" i="4"/>
  <c r="AP13" i="4" l="1"/>
  <c r="AP12" i="4"/>
  <c r="AQ12" i="4"/>
  <c r="U10" i="4" l="1"/>
  <c r="T50" i="4"/>
  <c r="T22" i="4" s="1"/>
  <c r="T7" i="4" s="1"/>
  <c r="T8" i="4" s="1"/>
  <c r="S50" i="4"/>
  <c r="T9" i="4"/>
  <c r="T17" i="4"/>
  <c r="T23" i="4"/>
  <c r="T24" i="4"/>
  <c r="T27" i="4"/>
  <c r="T29" i="4"/>
  <c r="T31" i="4"/>
  <c r="T37" i="4"/>
  <c r="T38" i="4"/>
  <c r="T45" i="4"/>
  <c r="T54" i="4"/>
  <c r="S54" i="4"/>
  <c r="S45" i="4"/>
  <c r="S42" i="4"/>
  <c r="S40" i="4"/>
  <c r="S38" i="4"/>
  <c r="S37" i="4"/>
  <c r="S31" i="4"/>
  <c r="S29" i="4"/>
  <c r="S28" i="4"/>
  <c r="S27" i="4" s="1"/>
  <c r="S26" i="4"/>
  <c r="S24" i="4" s="1"/>
  <c r="S23" i="4" s="1"/>
  <c r="S22" i="4" s="1"/>
  <c r="S25" i="4"/>
  <c r="S19" i="4"/>
  <c r="S18" i="4"/>
  <c r="S17" i="4"/>
  <c r="S9" i="4" s="1"/>
  <c r="S7" i="4" l="1"/>
  <c r="S8" i="4" s="1"/>
  <c r="AG52" i="4" l="1"/>
  <c r="AG53" i="4"/>
  <c r="AF52" i="4"/>
  <c r="AF35" i="4"/>
  <c r="AF33" i="4"/>
  <c r="Y52" i="4"/>
  <c r="Y53" i="4"/>
  <c r="Y51" i="4"/>
  <c r="U50" i="4"/>
  <c r="V50" i="4"/>
  <c r="W50" i="4"/>
  <c r="X50" i="4"/>
  <c r="U52" i="4"/>
  <c r="U53" i="4"/>
  <c r="U51" i="4"/>
  <c r="Y33" i="4"/>
  <c r="Y34" i="4"/>
  <c r="AQ34" i="4" s="1"/>
  <c r="Y35" i="4"/>
  <c r="Y32" i="4"/>
  <c r="Z31" i="4"/>
  <c r="V31" i="4"/>
  <c r="W31" i="4"/>
  <c r="X31" i="4"/>
  <c r="U34" i="4"/>
  <c r="U35" i="4"/>
  <c r="U33" i="4"/>
  <c r="U32" i="4"/>
  <c r="AO33" i="4" l="1"/>
  <c r="AK33" i="4"/>
  <c r="AQ35" i="4"/>
  <c r="AQ33" i="4"/>
  <c r="AJ32" i="4"/>
  <c r="AQ32" i="4"/>
  <c r="AO32" i="4"/>
  <c r="AN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8" i="4"/>
  <c r="AF46" i="4"/>
  <c r="AF47" i="4"/>
  <c r="AO47" i="4" s="1"/>
  <c r="X17" i="4" l="1"/>
  <c r="V24" i="4" l="1"/>
  <c r="Y42" i="4"/>
  <c r="Y41" i="4"/>
  <c r="AQ41" i="4" s="1"/>
  <c r="X9" i="4" l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Y50" i="4"/>
  <c r="R51" i="4"/>
  <c r="P51" i="4"/>
  <c r="M51" i="4"/>
  <c r="K51" i="4"/>
  <c r="AM50" i="4"/>
  <c r="AG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U17" i="4" s="1"/>
  <c r="R18" i="4"/>
  <c r="R17" i="4" s="1"/>
  <c r="P18" i="4"/>
  <c r="M18" i="4"/>
  <c r="K18" i="4"/>
  <c r="K17" i="4" s="1"/>
  <c r="AM17" i="4"/>
  <c r="AG17" i="4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AQ62" i="4" l="1"/>
  <c r="AQ59" i="4"/>
  <c r="AF54" i="4"/>
  <c r="W9" i="4"/>
  <c r="T3" i="4"/>
  <c r="AK30" i="4"/>
  <c r="AQ30" i="4"/>
  <c r="AO30" i="4"/>
  <c r="AQ58" i="4"/>
  <c r="AQ56" i="4"/>
  <c r="AO55" i="4"/>
  <c r="Y54" i="4"/>
  <c r="AN11" i="4"/>
  <c r="AQ11" i="4"/>
  <c r="AN56" i="4"/>
  <c r="AO56" i="4"/>
  <c r="AK56" i="4"/>
  <c r="AQ43" i="4"/>
  <c r="AN19" i="4"/>
  <c r="AH61" i="4"/>
  <c r="AL57" i="4"/>
  <c r="AO57" i="4"/>
  <c r="AN58" i="4"/>
  <c r="AO58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U45" i="4"/>
  <c r="P45" i="4"/>
  <c r="U23" i="4"/>
  <c r="R37" i="4"/>
  <c r="K54" i="4"/>
  <c r="AN42" i="4"/>
  <c r="AL13" i="4"/>
  <c r="AN46" i="4"/>
  <c r="AP21" i="4"/>
  <c r="Y45" i="4"/>
  <c r="Y17" i="4"/>
  <c r="AR35" i="4"/>
  <c r="AK47" i="4"/>
  <c r="AR47" i="4"/>
  <c r="AF29" i="4"/>
  <c r="AG38" i="4"/>
  <c r="AS35" i="4"/>
  <c r="AL56" i="4"/>
  <c r="AN39" i="4"/>
  <c r="AR56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J13" i="4"/>
  <c r="AT13" i="4"/>
  <c r="AT15" i="4"/>
  <c r="AL15" i="4"/>
  <c r="AK15" i="4"/>
  <c r="AP15" i="4"/>
  <c r="R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Q29" i="4" l="1"/>
  <c r="AO29" i="4"/>
  <c r="AQ45" i="4"/>
  <c r="Y9" i="4"/>
  <c r="AQ17" i="4"/>
  <c r="AS24" i="4"/>
  <c r="AO24" i="4"/>
  <c r="AS29" i="4"/>
  <c r="AK29" i="4"/>
  <c r="K7" i="4"/>
  <c r="K63" i="4" s="1"/>
  <c r="S63" i="4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V8" i="4"/>
  <c r="V63" i="4"/>
  <c r="AT54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Y7" i="4" l="1"/>
  <c r="Y8" i="4" s="1"/>
  <c r="V3" i="4"/>
  <c r="W8" i="4"/>
  <c r="AA63" i="4"/>
  <c r="P8" i="4"/>
  <c r="V65" i="4"/>
  <c r="AG7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Y63" i="4" l="1"/>
  <c r="Z3" i="4" s="1"/>
  <c r="AG8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Q63" i="4" l="1"/>
  <c r="AG63" i="4"/>
  <c r="AL63" i="4"/>
  <c r="AK63" i="4"/>
  <c r="AR63" i="4"/>
  <c r="AJ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U7" i="4"/>
  <c r="U8" i="4" s="1"/>
  <c r="T63" i="4"/>
  <c r="U13" i="4"/>
  <c r="U9" i="4" s="1"/>
  <c r="R13" i="4"/>
  <c r="R7" i="4" s="1"/>
  <c r="R8" i="4" l="1"/>
  <c r="R63" i="4"/>
  <c r="U63" i="4"/>
</calcChain>
</file>

<file path=xl/sharedStrings.xml><?xml version="1.0" encoding="utf-8"?>
<sst xmlns="http://schemas.openxmlformats.org/spreadsheetml/2006/main" count="266" uniqueCount="118">
  <si>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</si>
  <si>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</si>
  <si>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</si>
  <si>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</si>
  <si>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</si>
  <si>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</si>
  <si>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</si>
  <si>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</si>
  <si>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</si>
  <si>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</si>
  <si>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</si>
  <si>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</si>
  <si>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</si>
  <si>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</si>
  <si>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</si>
  <si>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</si>
  <si>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</si>
  <si>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</si>
  <si>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</si>
  <si>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</si>
  <si>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</si>
  <si>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</si>
  <si>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</si>
  <si>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</si>
  <si>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</si>
  <si>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</si>
  <si>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</si>
  <si>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</si>
  <si>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</si>
  <si>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</si>
  <si>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</si>
  <si>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</si>
  <si>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</si>
  <si>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</si>
  <si>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</si>
  <si>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</si>
  <si>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</si>
  <si>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</si>
  <si>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</si>
  <si>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</si>
  <si>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</si>
  <si>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</si>
  <si>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</si>
  <si>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</si>
  <si>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</si>
  <si>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</si>
  <si>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</si>
  <si>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</si>
  <si>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</si>
  <si>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</si>
  <si>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</si>
  <si>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</si>
  <si>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</si>
  <si>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</si>
  <si>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</si>
  <si>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</si>
  <si>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</si>
  <si>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</si>
  <si>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</si>
  <si>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</si>
  <si>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</si>
  <si>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</si>
  <si>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</si>
  <si>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</si>
  <si>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</si>
  <si>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</si>
  <si>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</si>
  <si>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 год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</si>
  <si>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</si>
  <si>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</si>
  <si>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</si>
  <si>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</si>
  <si>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</si>
  <si>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</si>
  <si>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</si>
  <si>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</si>
  <si>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</si>
  <si>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</si>
  <si>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</si>
  <si>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</si>
  <si>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</si>
  <si>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</si>
  <si>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</si>
  <si>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</si>
  <si>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</si>
  <si>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</si>
  <si>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</si>
  <si>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</si>
  <si>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</si>
  <si>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</si>
  <si>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</si>
  <si>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</si>
  <si>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</si>
  <si>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</si>
  <si>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</si>
  <si>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</si>
  <si>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744 1 13 01994 14 0000 130</t>
  </si>
  <si>
    <t>в т.ч. 701 Администрация БМО СК</t>
  </si>
  <si>
    <t>Исполнено с 01.01.2023 года по 06.06.2023 год (в сопоставимых условиях 2024 года)     (31,84%)</t>
  </si>
  <si>
    <t>начальник ФУ АБМО СК</t>
  </si>
  <si>
    <t>Исполнение бюджета Благодарненского муниципального округа Ставропольского края по доходам по состоянию на 08.08.2024 года</t>
  </si>
  <si>
    <t>Исполнено с 01.01.2023 по 08.08.2023 год</t>
  </si>
  <si>
    <r>
      <t>Исполнено с 01.01.2023 года по 08.08.2023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</si>
  <si>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на 8 месяцев 2024 года</t>
  </si>
  <si>
    <t>с 02.08.2024 по 08.08.2024 (неделя) Т</t>
  </si>
  <si>
    <t>с 26.07.2024 по 01.08.2024 (неделя) П</t>
  </si>
  <si>
    <t>Исполнение с 01.01.2024 по 01.08.2024
(53,08%)</t>
  </si>
  <si>
    <r>
      <t xml:space="preserve">Исполнение с 01.01.2024 по 08.08.2024
</t>
    </r>
    <r>
      <rPr>
        <b/>
        <sz val="14"/>
        <rFont val="Times New Roman"/>
        <family val="1"/>
        <charset val="204"/>
      </rPr>
      <t>(53,08%)</t>
    </r>
  </si>
  <si>
    <t>откл.+- от плана за 8 месяцев 2024 года</t>
  </si>
  <si>
    <t>откл.+- от исполнения на 08.08.2023 г  (в сопоставимых условиях 2024 года)</t>
  </si>
  <si>
    <t>Исполнение бюджета Благодарненского муниципального округа Ставропольского края по доходам по состоянию на 29.08.2024 года</t>
  </si>
  <si>
    <t>Исполнено с 01.01.2023 по 29.08.2023 год</t>
  </si>
  <si>
    <r>
      <t>Исполнено с 01.01.2023 года по 29.08.2023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</si>
  <si>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16.08.2024 по 22.08.2024 (неделя) П</t>
  </si>
  <si>
    <t>с 23.08.2024 по 29.08.2024 (неделя) Т</t>
  </si>
  <si>
    <r>
      <t xml:space="preserve">Исполнение с 01.01.2024 по 29.08.2024
</t>
    </r>
    <r>
      <rPr>
        <b/>
        <sz val="14"/>
        <rFont val="Times New Roman"/>
        <family val="1"/>
        <charset val="204"/>
      </rPr>
      <t>(53,08%)</t>
    </r>
  </si>
  <si>
    <t>Исполнение с 01.01.2024 по 22.08.2024
(53,08%)</t>
  </si>
  <si>
    <t>откл.+- от исполнения на 29.08.2023 г  (в сопоставимых условиях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</si>
</sst>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rgb="FF7030A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  <xf numFmtId="0" fontId="28" fillId="0" borderId="0"/>
  </cellStyleXfs>
  <cellXfs count="160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4" fillId="13" borderId="2" xfId="1" applyNumberFormat="1" applyFont="1" applyFill="1" applyBorder="1" applyAlignment="1" applyProtection="1">
      <alignment horizontal="right"/>
      <protection hidden="1"/>
    </xf>
    <xf numFmtId="164" fontId="4" fillId="7" borderId="2" xfId="1" applyNumberFormat="1" applyFont="1" applyFill="1" applyBorder="1" applyProtection="1">
      <protection hidden="1"/>
    </xf>
    <xf numFmtId="4" fontId="29" fillId="0" borderId="0" xfId="1" applyNumberFormat="1" applyFont="1"/>
    <xf numFmtId="164" fontId="3" fillId="3" borderId="2" xfId="1" applyNumberFormat="1" applyFont="1" applyFill="1" applyBorder="1" applyAlignment="1" applyProtection="1">
      <alignment horizontal="right"/>
      <protection hidden="1"/>
    </xf>
    <xf numFmtId="165" fontId="29" fillId="0" borderId="0" xfId="1" applyNumberFormat="1" applyFont="1"/>
    <xf numFmtId="164" fontId="23" fillId="0" borderId="2" xfId="1" applyNumberFormat="1" applyFont="1" applyBorder="1" applyAlignment="1" applyProtection="1">
      <alignment horizontal="right"/>
      <protection hidden="1"/>
    </xf>
    <xf numFmtId="165" fontId="23" fillId="4" borderId="1" xfId="1" applyNumberFormat="1" applyFont="1" applyFill="1" applyBorder="1" applyAlignment="1" applyProtection="1">
      <alignment wrapText="1"/>
      <protection hidden="1"/>
    </xf>
    <xf numFmtId="165" fontId="23" fillId="11" borderId="3" xfId="1" applyNumberFormat="1" applyFont="1" applyFill="1" applyBorder="1" applyAlignment="1" applyProtection="1">
      <alignment wrapText="1"/>
      <protection hidden="1"/>
    </xf>
    <xf numFmtId="164" fontId="23" fillId="0" borderId="3" xfId="1" applyNumberFormat="1" applyFont="1" applyBorder="1" applyAlignment="1" applyProtection="1">
      <alignment horizontal="right"/>
      <protection hidden="1"/>
    </xf>
    <xf numFmtId="164" fontId="23" fillId="0" borderId="1" xfId="1" applyNumberFormat="1" applyFont="1" applyBorder="1" applyAlignment="1" applyProtection="1">
      <alignment horizontal="right"/>
      <protection hidden="1"/>
    </xf>
    <xf numFmtId="164" fontId="5" fillId="3" borderId="1" xfId="1" applyNumberFormat="1" applyFont="1" applyFill="1" applyBorder="1" applyAlignment="1" applyProtection="1">
      <alignment horizontal="right"/>
      <protection hidden="1"/>
    </xf>
    <xf numFmtId="164" fontId="23" fillId="11" borderId="1" xfId="1" applyNumberFormat="1" applyFont="1" applyFill="1" applyBorder="1" applyAlignment="1" applyProtection="1">
      <alignment horizontal="right"/>
      <protection hidden="1"/>
    </xf>
    <xf numFmtId="164" fontId="5" fillId="7" borderId="1" xfId="1" applyNumberFormat="1" applyFont="1" applyFill="1" applyBorder="1" applyAlignment="1" applyProtection="1">
      <alignment horizontal="right"/>
      <protection hidden="1"/>
    </xf>
    <xf numFmtId="164" fontId="23" fillId="7" borderId="1" xfId="1" applyNumberFormat="1" applyFont="1" applyFill="1" applyBorder="1" applyAlignment="1" applyProtection="1">
      <alignment horizontal="right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4" fontId="5" fillId="0" borderId="0" xfId="1" applyNumberFormat="1" applyFont="1" applyAlignment="1">
      <alignment horizontal="center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</cellXfs>
  <cellStyles count="27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18" xfId="26" xr:uid="{EF6831F7-33A4-4AF3-B246-690CBF8C6D8B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0DEE-C872-4B37-8ECA-419390FAD3D8}">
  <dimension ref="A1:AV76"/>
  <sheetViews>
    <sheetView showGridLines="0" tabSelected="1" view="pageBreakPreview" zoomScale="66" zoomScaleNormal="68" zoomScaleSheetLayoutView="66" workbookViewId="0">
      <pane xSplit="20" ySplit="6" topLeftCell="U7" activePane="bottomRight" state="frozen"/>
      <selection pane="topRight" activeCell="U1" sqref="U1"/>
      <selection pane="bottomLeft" activeCell="A7" sqref="A7"/>
      <selection pane="bottomRight" activeCell="A8" sqref="A8:XFD5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5.85546875" style="1" hidden="1" customWidth="1"/>
    <col min="21" max="21" width="23.7109375" style="1" customWidth="1"/>
    <col min="22" max="22" width="27.7109375" style="1" hidden="1" customWidth="1"/>
    <col min="23" max="23" width="9.7109375" style="1" hidden="1" customWidth="1"/>
    <col min="24" max="24" width="11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6.42578125" style="1" hidden="1" customWidth="1"/>
    <col min="32" max="32" width="26.710937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0" t="s">
        <v>110</v>
      </c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55.948508694819957</v>
      </c>
      <c r="U3" s="104"/>
      <c r="V3" s="106">
        <f>V8/S8%</f>
        <v>57.026147579257696</v>
      </c>
      <c r="W3" s="106"/>
      <c r="X3" s="105"/>
      <c r="Y3" s="80"/>
      <c r="Z3" s="80">
        <f>U3-Y63</f>
        <v>-1667459278.7384551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1" t="s">
        <v>34</v>
      </c>
      <c r="J4" s="138" t="s">
        <v>44</v>
      </c>
      <c r="K4" s="138" t="s">
        <v>50</v>
      </c>
      <c r="L4" s="145" t="s">
        <v>55</v>
      </c>
      <c r="M4" s="138" t="s">
        <v>53</v>
      </c>
      <c r="N4" s="138" t="s">
        <v>52</v>
      </c>
      <c r="O4" s="145" t="s">
        <v>49</v>
      </c>
      <c r="P4" s="138" t="s">
        <v>62</v>
      </c>
      <c r="Q4" s="145" t="s">
        <v>64</v>
      </c>
      <c r="R4" s="138" t="s">
        <v>63</v>
      </c>
      <c r="S4" s="141" t="s">
        <v>81</v>
      </c>
      <c r="T4" s="145" t="s">
        <v>80</v>
      </c>
      <c r="U4" s="138" t="s">
        <v>82</v>
      </c>
      <c r="V4" s="145" t="s">
        <v>111</v>
      </c>
      <c r="W4" s="146" t="s">
        <v>75</v>
      </c>
      <c r="X4" s="142" t="s">
        <v>79</v>
      </c>
      <c r="Y4" s="138" t="s">
        <v>112</v>
      </c>
      <c r="Z4" s="143" t="s">
        <v>65</v>
      </c>
      <c r="AA4" s="156" t="s">
        <v>94</v>
      </c>
      <c r="AB4" s="157"/>
      <c r="AC4" s="135" t="s">
        <v>56</v>
      </c>
      <c r="AD4" s="135"/>
      <c r="AE4" s="154" t="s">
        <v>116</v>
      </c>
      <c r="AF4" s="138" t="s">
        <v>115</v>
      </c>
      <c r="AG4" s="139" t="s">
        <v>43</v>
      </c>
      <c r="AH4" s="141" t="s">
        <v>66</v>
      </c>
      <c r="AI4" s="141"/>
      <c r="AJ4" s="135" t="s">
        <v>93</v>
      </c>
      <c r="AK4" s="135"/>
      <c r="AL4" s="135" t="s">
        <v>51</v>
      </c>
      <c r="AM4" s="135"/>
      <c r="AN4" s="135" t="s">
        <v>108</v>
      </c>
      <c r="AO4" s="135"/>
      <c r="AP4" s="135" t="s">
        <v>117</v>
      </c>
      <c r="AQ4" s="135"/>
      <c r="AR4" s="135" t="s">
        <v>54</v>
      </c>
      <c r="AS4" s="135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1"/>
      <c r="J5" s="138"/>
      <c r="K5" s="138"/>
      <c r="L5" s="145"/>
      <c r="M5" s="138"/>
      <c r="N5" s="138"/>
      <c r="O5" s="145"/>
      <c r="P5" s="138"/>
      <c r="Q5" s="145"/>
      <c r="R5" s="138"/>
      <c r="S5" s="141"/>
      <c r="T5" s="145"/>
      <c r="U5" s="138"/>
      <c r="V5" s="145"/>
      <c r="W5" s="147"/>
      <c r="X5" s="142"/>
      <c r="Y5" s="138"/>
      <c r="Z5" s="144"/>
      <c r="AA5" s="158"/>
      <c r="AB5" s="159"/>
      <c r="AC5" s="79" t="s">
        <v>113</v>
      </c>
      <c r="AD5" s="79" t="s">
        <v>114</v>
      </c>
      <c r="AE5" s="155"/>
      <c r="AF5" s="138"/>
      <c r="AG5" s="140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6" t="s">
        <v>8</v>
      </c>
      <c r="C7" s="136"/>
      <c r="D7" s="136"/>
      <c r="E7" s="136"/>
      <c r="F7" s="136"/>
      <c r="G7" s="136"/>
      <c r="H7" s="136"/>
      <c r="I7" s="136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123083855.47554319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236695386.06999999</v>
      </c>
      <c r="W7" s="44">
        <f>V7/S7%</f>
        <v>57.753620453758892</v>
      </c>
      <c r="X7" s="44">
        <f>X9+X22</f>
        <v>0</v>
      </c>
      <c r="Y7" s="44">
        <f>Y9+Y22</f>
        <v>324610860.09845471</v>
      </c>
      <c r="Z7" s="44">
        <f t="shared" ref="Z7:AF7" si="2">Z9+Z22</f>
        <v>400415099.64999998</v>
      </c>
      <c r="AA7" s="44">
        <f t="shared" si="2"/>
        <v>587550626.97000003</v>
      </c>
      <c r="AB7" s="121">
        <f t="shared" si="2"/>
        <v>370427931.90000004</v>
      </c>
      <c r="AC7" s="44">
        <f t="shared" ref="AC7" si="3">AC9+AC22</f>
        <v>2049504.1700000002</v>
      </c>
      <c r="AD7" s="44">
        <f t="shared" si="2"/>
        <v>32488602.07</v>
      </c>
      <c r="AE7" s="44">
        <v>358807489.20000011</v>
      </c>
      <c r="AF7" s="44">
        <f t="shared" si="2"/>
        <v>391296091.2700001</v>
      </c>
      <c r="AG7" s="44">
        <f>AD7-AC7</f>
        <v>30439097.899999999</v>
      </c>
      <c r="AH7" s="44">
        <f t="shared" ref="AH7:AH63" si="4">AF7-Z7</f>
        <v>-9119008.379999876</v>
      </c>
      <c r="AI7" s="44">
        <f t="shared" ref="AI7:AI28" si="5">AF7/Z7*100</f>
        <v>97.722611263168957</v>
      </c>
      <c r="AJ7" s="44">
        <f>AF7-AA7</f>
        <v>-196254535.69999993</v>
      </c>
      <c r="AK7" s="44">
        <f>AF7/AA7%</f>
        <v>66.597851029095992</v>
      </c>
      <c r="AL7" s="44" t="e">
        <f>AF7-#REF!</f>
        <v>#REF!</v>
      </c>
      <c r="AM7" s="44" t="e">
        <f>IF(#REF!=0,0,AF7/#REF!*100)</f>
        <v>#REF!</v>
      </c>
      <c r="AN7" s="44">
        <f>AF7-AB7</f>
        <v>20868159.370000064</v>
      </c>
      <c r="AO7" s="44">
        <f>AF7/AB7*100</f>
        <v>105.63352748885946</v>
      </c>
      <c r="AP7" s="44">
        <f>AF7-Y7</f>
        <v>66685231.171545386</v>
      </c>
      <c r="AQ7" s="44">
        <f>AF7/Y7%</f>
        <v>120.54313005773118</v>
      </c>
      <c r="AR7" s="44">
        <f>AF7-M7</f>
        <v>268212235.7944569</v>
      </c>
      <c r="AS7" s="44">
        <f>IF(M7=0,0,AF7/M7*100)</f>
        <v>317.91016763181489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6">S7-S37-S53</f>
        <v>370081037.89000005</v>
      </c>
      <c r="T8" s="52">
        <f t="shared" si="6"/>
        <v>392540175.78000003</v>
      </c>
      <c r="U8" s="52">
        <f>U7-U37-U53+U44-31715.49-30845.55-10000-18222.76-1302-275200</f>
        <v>544501974.11584198</v>
      </c>
      <c r="V8" s="52">
        <f>V7-V37-V53</f>
        <v>211042958.83000001</v>
      </c>
      <c r="W8" s="44">
        <f>V8/S8%</f>
        <v>57.026147579257696</v>
      </c>
      <c r="X8" s="52">
        <f t="shared" ref="X8:AD8" si="7">X7-X37-X53</f>
        <v>0</v>
      </c>
      <c r="Y8" s="52">
        <f t="shared" si="7"/>
        <v>298958432.8584547</v>
      </c>
      <c r="Z8" s="52">
        <f t="shared" si="7"/>
        <v>372608810</v>
      </c>
      <c r="AA8" s="52">
        <f t="shared" si="7"/>
        <v>553163456.62</v>
      </c>
      <c r="AB8" s="122">
        <f t="shared" si="7"/>
        <v>346178976.32000005</v>
      </c>
      <c r="AC8" s="52">
        <f t="shared" ref="AC8" si="8">AC7-AC37-AC53</f>
        <v>1869925.01</v>
      </c>
      <c r="AD8" s="52">
        <f t="shared" si="7"/>
        <v>32451684.75</v>
      </c>
      <c r="AE8" s="52">
        <v>333217636.5800001</v>
      </c>
      <c r="AF8" s="52">
        <f>AF7-AF37-AF53</f>
        <v>365669321.3300001</v>
      </c>
      <c r="AG8" s="51">
        <f t="shared" ref="AG8:AG63" si="9">AD8-AC8</f>
        <v>30581759.739999998</v>
      </c>
      <c r="AH8" s="64">
        <f t="shared" si="4"/>
        <v>-6939488.6699998975</v>
      </c>
      <c r="AI8" s="64">
        <f t="shared" si="5"/>
        <v>98.137594044005596</v>
      </c>
      <c r="AJ8" s="51">
        <f t="shared" ref="AJ8:AJ62" si="10">AF8-AA8</f>
        <v>-187494135.2899999</v>
      </c>
      <c r="AK8" s="51">
        <f>AF8/AA8%</f>
        <v>66.105111780946785</v>
      </c>
      <c r="AL8" s="51"/>
      <c r="AM8" s="51"/>
      <c r="AN8" s="64">
        <f t="shared" ref="AN8:AN63" si="11">AF8-AB8</f>
        <v>19490345.01000005</v>
      </c>
      <c r="AO8" s="64">
        <f t="shared" ref="AO8:AO63" si="12">AF8/AB8*100</f>
        <v>105.63013537598067</v>
      </c>
      <c r="AP8" s="51">
        <f t="shared" ref="AP8:AP63" si="13">AF8-Y8</f>
        <v>66710888.471545398</v>
      </c>
      <c r="AQ8" s="51">
        <f>AF8/Y8%</f>
        <v>122.31443610193475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AA9" si="14">S10+S11+S12+S13+S14+S15+S16+S17+S20+S21</f>
        <v>323360088.5</v>
      </c>
      <c r="T9" s="70">
        <f t="shared" si="14"/>
        <v>339771027.17000008</v>
      </c>
      <c r="U9" s="70">
        <f t="shared" si="14"/>
        <v>492445948.29584169</v>
      </c>
      <c r="V9" s="70">
        <f t="shared" si="14"/>
        <v>180915147.22999999</v>
      </c>
      <c r="W9" s="44">
        <f>V9/S9%</f>
        <v>55.948508694819957</v>
      </c>
      <c r="X9" s="70">
        <f t="shared" si="14"/>
        <v>0</v>
      </c>
      <c r="Y9" s="70">
        <f>Y10+Y11+Y12+Y13+Y14+Y15+Y16+Y17+Y20+Y21</f>
        <v>268830621.25845474</v>
      </c>
      <c r="Z9" s="70">
        <f t="shared" si="14"/>
        <v>323434900</v>
      </c>
      <c r="AA9" s="70">
        <f t="shared" si="14"/>
        <v>501903186.62</v>
      </c>
      <c r="AB9" s="123">
        <f>AB10+AB11+AB12+AB13+AB14+AB15+AB16+AB17+AB20+AB21</f>
        <v>313298443.10000002</v>
      </c>
      <c r="AC9" s="70">
        <f t="shared" ref="AC9:AD9" si="15">AC10+AC11+AC12+AC13+AC14+AC15+AC16+AC17+AC20+AC21</f>
        <v>1096771.9400000002</v>
      </c>
      <c r="AD9" s="70">
        <f t="shared" si="15"/>
        <v>32048719.809999999</v>
      </c>
      <c r="AE9" s="70">
        <v>300159887.53000009</v>
      </c>
      <c r="AF9" s="70">
        <f>AF10+AF11+AF12+AF13+AF14+AF15+AF16+AF17+AF20+AF21</f>
        <v>332208607.34000009</v>
      </c>
      <c r="AG9" s="71">
        <f t="shared" si="9"/>
        <v>30951947.869999997</v>
      </c>
      <c r="AH9" s="72"/>
      <c r="AI9" s="72"/>
      <c r="AJ9" s="71">
        <f t="shared" si="10"/>
        <v>-169694579.27999991</v>
      </c>
      <c r="AK9" s="71">
        <f>AF9/AA9%</f>
        <v>66.189778466483659</v>
      </c>
      <c r="AL9" s="73"/>
      <c r="AM9" s="73"/>
      <c r="AN9" s="72">
        <f t="shared" si="11"/>
        <v>18910164.240000069</v>
      </c>
      <c r="AO9" s="72">
        <f t="shared" si="12"/>
        <v>106.03583090068666</v>
      </c>
      <c r="AP9" s="71">
        <f t="shared" si="13"/>
        <v>63377986.081545353</v>
      </c>
      <c r="AQ9" s="71">
        <f>AF9/Y9%</f>
        <v>123.57543414692091</v>
      </c>
      <c r="AR9" s="23"/>
      <c r="AS9" s="23"/>
      <c r="AT9" s="49"/>
    </row>
    <row r="10" spans="1:47" s="10" customFormat="1" ht="30" hidden="1" customHeight="1" x14ac:dyDescent="0.3">
      <c r="A10" s="9"/>
      <c r="B10" s="137" t="s">
        <v>26</v>
      </c>
      <c r="C10" s="137"/>
      <c r="D10" s="137"/>
      <c r="E10" s="137"/>
      <c r="F10" s="137"/>
      <c r="G10" s="137"/>
      <c r="H10" s="137"/>
      <c r="I10" s="137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117625823.75</v>
      </c>
      <c r="W10" s="12"/>
      <c r="X10" s="46"/>
      <c r="Y10" s="47">
        <f>V10/31.84%*53.08%</f>
        <v>196092296.62845472</v>
      </c>
      <c r="Z10" s="46">
        <v>188231000</v>
      </c>
      <c r="AA10" s="46">
        <v>345381986.62</v>
      </c>
      <c r="AB10" s="124">
        <v>225417632.09999999</v>
      </c>
      <c r="AC10" s="46">
        <f>190049.59+307814.91+4978.37</f>
        <v>502842.87</v>
      </c>
      <c r="AD10" s="46">
        <f>17329997.31+7103445.41+3878298.06+1857.8+0.5+6169.64</f>
        <v>28319768.719999999</v>
      </c>
      <c r="AE10" s="46">
        <v>209025025.28000003</v>
      </c>
      <c r="AF10" s="46">
        <f>AE10+AD10</f>
        <v>237344794.00000003</v>
      </c>
      <c r="AG10" s="46">
        <f t="shared" si="9"/>
        <v>27816925.849999998</v>
      </c>
      <c r="AH10" s="44">
        <f t="shared" si="4"/>
        <v>49113794.00000003</v>
      </c>
      <c r="AI10" s="44">
        <f t="shared" si="5"/>
        <v>126.09229829305481</v>
      </c>
      <c r="AJ10" s="46">
        <f t="shared" si="10"/>
        <v>-108037192.61999997</v>
      </c>
      <c r="AK10" s="44">
        <f t="shared" ref="AK10:AK63" si="16">AF10/AA10%</f>
        <v>68.719505705181476</v>
      </c>
      <c r="AL10" s="46" t="e">
        <f>AF10-#REF!</f>
        <v>#REF!</v>
      </c>
      <c r="AM10" s="46" t="e">
        <f>IF(#REF!=0,0,AF10/#REF!*100)</f>
        <v>#REF!</v>
      </c>
      <c r="AN10" s="44">
        <f t="shared" si="11"/>
        <v>11927161.900000036</v>
      </c>
      <c r="AO10" s="44">
        <f t="shared" si="12"/>
        <v>105.29113973422845</v>
      </c>
      <c r="AP10" s="46">
        <f t="shared" si="13"/>
        <v>41252497.371545315</v>
      </c>
      <c r="AQ10" s="44">
        <f t="shared" ref="AQ10:AQ63" si="17">AF10/Y10%</f>
        <v>121.03728605397913</v>
      </c>
      <c r="AR10" s="46">
        <f t="shared" ref="AR10:AR20" si="18">AF10-M10</f>
        <v>178509343.90445679</v>
      </c>
      <c r="AS10" s="46">
        <f t="shared" ref="AS10:AS20" si="19">IF(M10=0,0,AF10/M10*100)</f>
        <v>403.40439924326989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32" t="s">
        <v>25</v>
      </c>
      <c r="C11" s="132"/>
      <c r="D11" s="132"/>
      <c r="E11" s="132"/>
      <c r="F11" s="132"/>
      <c r="G11" s="132"/>
      <c r="H11" s="132"/>
      <c r="I11" s="132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21283157.829999998</v>
      </c>
      <c r="W11" s="12"/>
      <c r="X11" s="12"/>
      <c r="Y11" s="12">
        <f t="shared" ref="Y11:Y16" si="20">V11</f>
        <v>21283157.829999998</v>
      </c>
      <c r="Z11" s="12">
        <v>28603900</v>
      </c>
      <c r="AA11" s="12">
        <v>32294200</v>
      </c>
      <c r="AB11" s="125">
        <v>22182530</v>
      </c>
      <c r="AC11" s="12">
        <v>0.01</v>
      </c>
      <c r="AD11" s="12">
        <f>0.01+1511553.94+10264.34+1551197.42+2594.02</f>
        <v>3075609.73</v>
      </c>
      <c r="AE11" s="12">
        <v>19739252.950000003</v>
      </c>
      <c r="AF11" s="12">
        <f t="shared" ref="AF11:AF62" si="21">AE11+AD11</f>
        <v>22814862.680000003</v>
      </c>
      <c r="AG11" s="12">
        <f t="shared" si="9"/>
        <v>3075609.72</v>
      </c>
      <c r="AH11" s="44">
        <f t="shared" si="4"/>
        <v>-5789037.3199999966</v>
      </c>
      <c r="AI11" s="44">
        <f t="shared" si="5"/>
        <v>79.761370582333186</v>
      </c>
      <c r="AJ11" s="12">
        <f t="shared" si="10"/>
        <v>-9479337.3199999966</v>
      </c>
      <c r="AK11" s="44">
        <f t="shared" si="16"/>
        <v>70.646935610728875</v>
      </c>
      <c r="AL11" s="12" t="e">
        <f>AF11-#REF!</f>
        <v>#REF!</v>
      </c>
      <c r="AM11" s="12" t="e">
        <f>IF(#REF!=0,0,AF11/#REF!*100)</f>
        <v>#REF!</v>
      </c>
      <c r="AN11" s="44">
        <f t="shared" si="11"/>
        <v>632332.68000000343</v>
      </c>
      <c r="AO11" s="44">
        <f>AF11/AB11*100</f>
        <v>102.85058863889738</v>
      </c>
      <c r="AP11" s="12">
        <f t="shared" si="13"/>
        <v>1531704.8500000052</v>
      </c>
      <c r="AQ11" s="44">
        <f t="shared" si="17"/>
        <v>107.1967931743708</v>
      </c>
      <c r="AR11" s="12">
        <f t="shared" si="18"/>
        <v>14920937.570000004</v>
      </c>
      <c r="AS11" s="12">
        <f t="shared" si="19"/>
        <v>289.01797726834531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2">J12</f>
        <v>0</v>
      </c>
      <c r="L12" s="12">
        <v>0</v>
      </c>
      <c r="M12" s="36">
        <f t="shared" ref="M12" si="23">L12</f>
        <v>0</v>
      </c>
      <c r="N12" s="12">
        <v>8810490.5399999991</v>
      </c>
      <c r="O12" s="12">
        <v>9529840.7599999998</v>
      </c>
      <c r="P12" s="12">
        <f t="shared" ref="P12:P15" si="24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9449001.1500000004</v>
      </c>
      <c r="W12" s="12"/>
      <c r="X12" s="12"/>
      <c r="Y12" s="35">
        <f>V12/15%*30%</f>
        <v>18898002.300000001</v>
      </c>
      <c r="Z12" s="12">
        <v>11972000</v>
      </c>
      <c r="AA12" s="12">
        <v>27969000</v>
      </c>
      <c r="AB12" s="125">
        <v>25220928</v>
      </c>
      <c r="AC12" s="12">
        <f>106088.63+4049.54</f>
        <v>110138.17</v>
      </c>
      <c r="AD12" s="12">
        <f>13659.87-15645.19</f>
        <v>-1985.3199999999997</v>
      </c>
      <c r="AE12" s="12">
        <v>26424367.260000005</v>
      </c>
      <c r="AF12" s="12">
        <f t="shared" si="21"/>
        <v>26422381.940000005</v>
      </c>
      <c r="AG12" s="12">
        <f t="shared" si="9"/>
        <v>-112123.48999999999</v>
      </c>
      <c r="AH12" s="44">
        <f t="shared" si="4"/>
        <v>14450381.940000005</v>
      </c>
      <c r="AI12" s="44">
        <f t="shared" si="5"/>
        <v>220.70148630136993</v>
      </c>
      <c r="AJ12" s="12">
        <f t="shared" si="10"/>
        <v>-1546618.0599999949</v>
      </c>
      <c r="AK12" s="44">
        <f t="shared" si="16"/>
        <v>94.47024183917911</v>
      </c>
      <c r="AL12" s="12" t="e">
        <f>AF12-#REF!</f>
        <v>#REF!</v>
      </c>
      <c r="AM12" s="12" t="e">
        <f>IF(#REF!=0,0,AF12/#REF!*100)</f>
        <v>#REF!</v>
      </c>
      <c r="AN12" s="44">
        <f t="shared" si="11"/>
        <v>1201453.9400000051</v>
      </c>
      <c r="AO12" s="44">
        <f t="shared" si="12"/>
        <v>104.76371821052741</v>
      </c>
      <c r="AP12" s="12">
        <f t="shared" si="13"/>
        <v>7524379.6400000043</v>
      </c>
      <c r="AQ12" s="44">
        <f t="shared" si="17"/>
        <v>139.81574094739105</v>
      </c>
      <c r="AR12" s="12">
        <f t="shared" si="18"/>
        <v>26422381.940000005</v>
      </c>
      <c r="AS12" s="12">
        <f t="shared" si="19"/>
        <v>0</v>
      </c>
      <c r="AT12" s="34">
        <f>AF12</f>
        <v>26422381.940000005</v>
      </c>
    </row>
    <row r="13" spans="1:47" s="10" customFormat="1" ht="70.5" hidden="1" customHeight="1" x14ac:dyDescent="0.3">
      <c r="A13" s="9"/>
      <c r="B13" s="132" t="s">
        <v>24</v>
      </c>
      <c r="C13" s="132"/>
      <c r="D13" s="132"/>
      <c r="E13" s="132"/>
      <c r="F13" s="132"/>
      <c r="G13" s="132"/>
      <c r="H13" s="132"/>
      <c r="I13" s="132"/>
      <c r="J13" s="12">
        <v>11880184.26</v>
      </c>
      <c r="K13" s="12">
        <f t="shared" si="22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4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5">T13</f>
        <v>-283271.29000000004</v>
      </c>
      <c r="V13" s="12">
        <v>-319088.65999999997</v>
      </c>
      <c r="W13" s="12"/>
      <c r="X13" s="12"/>
      <c r="Y13" s="12">
        <f t="shared" si="20"/>
        <v>-319088.65999999997</v>
      </c>
      <c r="Z13" s="12">
        <v>8000</v>
      </c>
      <c r="AA13" s="12">
        <v>0</v>
      </c>
      <c r="AB13" s="125">
        <v>0</v>
      </c>
      <c r="AC13" s="12">
        <v>0</v>
      </c>
      <c r="AD13" s="12">
        <v>0</v>
      </c>
      <c r="AE13" s="12">
        <v>5349.77</v>
      </c>
      <c r="AF13" s="12">
        <f t="shared" si="21"/>
        <v>5349.77</v>
      </c>
      <c r="AG13" s="12">
        <f t="shared" si="9"/>
        <v>0</v>
      </c>
      <c r="AH13" s="44">
        <f t="shared" si="4"/>
        <v>-2650.2299999999996</v>
      </c>
      <c r="AI13" s="44">
        <f t="shared" si="5"/>
        <v>66.872125000000011</v>
      </c>
      <c r="AJ13" s="12">
        <f t="shared" si="10"/>
        <v>5349.77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1"/>
        <v>5349.77</v>
      </c>
      <c r="AO13" s="115">
        <v>0</v>
      </c>
      <c r="AP13" s="12">
        <f t="shared" si="13"/>
        <v>324438.43</v>
      </c>
      <c r="AQ13" s="115">
        <v>101.68</v>
      </c>
      <c r="AR13" s="12">
        <f t="shared" si="18"/>
        <v>-5409329.0900000008</v>
      </c>
      <c r="AS13" s="12">
        <f t="shared" si="19"/>
        <v>9.8801242665017455E-2</v>
      </c>
      <c r="AT13" s="34">
        <f>AF13</f>
        <v>5349.77</v>
      </c>
      <c r="AU13" s="86" t="s">
        <v>74</v>
      </c>
    </row>
    <row r="14" spans="1:47" s="10" customFormat="1" ht="42.75" hidden="1" customHeight="1" x14ac:dyDescent="0.3">
      <c r="A14" s="9"/>
      <c r="B14" s="132" t="s">
        <v>23</v>
      </c>
      <c r="C14" s="132"/>
      <c r="D14" s="132"/>
      <c r="E14" s="132"/>
      <c r="F14" s="132"/>
      <c r="G14" s="132"/>
      <c r="H14" s="132"/>
      <c r="I14" s="132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5635423.7800000003</v>
      </c>
      <c r="W14" s="12"/>
      <c r="X14" s="12"/>
      <c r="Y14" s="12">
        <f t="shared" si="20"/>
        <v>5635423.7800000003</v>
      </c>
      <c r="Z14" s="12">
        <v>5814000</v>
      </c>
      <c r="AA14" s="12">
        <v>10582000</v>
      </c>
      <c r="AB14" s="125">
        <v>8092000</v>
      </c>
      <c r="AC14" s="12">
        <f>4163.09+455</f>
        <v>4618.09</v>
      </c>
      <c r="AD14" s="12">
        <f>25657.02+12000</f>
        <v>37657.020000000004</v>
      </c>
      <c r="AE14" s="12">
        <v>12095339.010000002</v>
      </c>
      <c r="AF14" s="12">
        <f t="shared" si="21"/>
        <v>12132996.030000001</v>
      </c>
      <c r="AG14" s="12">
        <f t="shared" si="9"/>
        <v>33038.930000000008</v>
      </c>
      <c r="AH14" s="44">
        <f t="shared" si="4"/>
        <v>6318996.0300000012</v>
      </c>
      <c r="AI14" s="44">
        <f t="shared" si="5"/>
        <v>208.68586222910216</v>
      </c>
      <c r="AJ14" s="12">
        <f t="shared" si="10"/>
        <v>1550996.0300000012</v>
      </c>
      <c r="AK14" s="44">
        <f t="shared" si="16"/>
        <v>114.65692714042716</v>
      </c>
      <c r="AL14" s="12" t="e">
        <f>AF14-#REF!</f>
        <v>#REF!</v>
      </c>
      <c r="AM14" s="12" t="e">
        <f>IF(#REF!=0,0,AF14/#REF!*100)</f>
        <v>#REF!</v>
      </c>
      <c r="AN14" s="44">
        <f t="shared" si="11"/>
        <v>4040996.0300000012</v>
      </c>
      <c r="AO14" s="44">
        <f t="shared" si="12"/>
        <v>149.93816151754822</v>
      </c>
      <c r="AP14" s="12">
        <f t="shared" si="13"/>
        <v>6497572.2500000009</v>
      </c>
      <c r="AQ14" s="44">
        <f t="shared" si="17"/>
        <v>215.29873357634162</v>
      </c>
      <c r="AR14" s="12">
        <f t="shared" si="18"/>
        <v>8565918.1700000018</v>
      </c>
      <c r="AS14" s="12">
        <f t="shared" si="19"/>
        <v>340.13824497792154</v>
      </c>
      <c r="AT14" s="34">
        <f>AF14</f>
        <v>12132996.030000001</v>
      </c>
      <c r="AU14" s="86"/>
    </row>
    <row r="15" spans="1:47" s="10" customFormat="1" ht="99" hidden="1" customHeight="1" x14ac:dyDescent="0.3">
      <c r="A15" s="9"/>
      <c r="B15" s="132" t="s">
        <v>22</v>
      </c>
      <c r="C15" s="132"/>
      <c r="D15" s="132"/>
      <c r="E15" s="132"/>
      <c r="F15" s="132"/>
      <c r="G15" s="132"/>
      <c r="H15" s="132"/>
      <c r="I15" s="132"/>
      <c r="J15" s="12">
        <v>199821.72</v>
      </c>
      <c r="K15" s="12">
        <f t="shared" ref="K15" si="26">J15</f>
        <v>199821.72</v>
      </c>
      <c r="L15" s="12">
        <v>141824.35999999999</v>
      </c>
      <c r="M15" s="12">
        <f t="shared" ref="M15" si="27">L15</f>
        <v>141824.35999999999</v>
      </c>
      <c r="N15" s="12">
        <v>4514274.29</v>
      </c>
      <c r="O15" s="12">
        <v>6011745.4100000001</v>
      </c>
      <c r="P15" s="12">
        <f t="shared" si="24"/>
        <v>6011745.4100000001</v>
      </c>
      <c r="Q15" s="12">
        <v>6011745.4100000001</v>
      </c>
      <c r="R15" s="12">
        <f t="shared" ref="R15" si="28">Q15</f>
        <v>6011745.4100000001</v>
      </c>
      <c r="S15" s="12">
        <v>2368000</v>
      </c>
      <c r="T15" s="12">
        <v>2659940.33</v>
      </c>
      <c r="U15" s="12">
        <f t="shared" si="25"/>
        <v>2659940.33</v>
      </c>
      <c r="V15" s="12">
        <v>3283309.98</v>
      </c>
      <c r="W15" s="12"/>
      <c r="X15" s="12"/>
      <c r="Y15" s="12">
        <f t="shared" si="20"/>
        <v>3283309.98</v>
      </c>
      <c r="Z15" s="12">
        <v>8168000</v>
      </c>
      <c r="AA15" s="12">
        <v>6694000</v>
      </c>
      <c r="AB15" s="125">
        <v>6694000</v>
      </c>
      <c r="AC15" s="12">
        <v>32628.3</v>
      </c>
      <c r="AD15" s="12">
        <f>-10809.59+7572.8</f>
        <v>-3236.79</v>
      </c>
      <c r="AE15" s="12">
        <v>8107549.3899999997</v>
      </c>
      <c r="AF15" s="12">
        <f t="shared" si="21"/>
        <v>8104312.5999999996</v>
      </c>
      <c r="AG15" s="12">
        <f t="shared" si="9"/>
        <v>-35865.089999999997</v>
      </c>
      <c r="AH15" s="44">
        <f t="shared" si="4"/>
        <v>-63687.400000000373</v>
      </c>
      <c r="AI15" s="44">
        <f t="shared" si="5"/>
        <v>99.220281586679732</v>
      </c>
      <c r="AJ15" s="12">
        <f t="shared" si="10"/>
        <v>1410312.5999999996</v>
      </c>
      <c r="AK15" s="44">
        <f t="shared" si="16"/>
        <v>121.06830893337316</v>
      </c>
      <c r="AL15" s="12" t="e">
        <f>AF15-#REF!</f>
        <v>#REF!</v>
      </c>
      <c r="AM15" s="12" t="e">
        <f>IF(#REF!=0,0,AF15/#REF!*100)</f>
        <v>#REF!</v>
      </c>
      <c r="AN15" s="44">
        <f t="shared" si="11"/>
        <v>1410312.5999999996</v>
      </c>
      <c r="AO15" s="44">
        <f t="shared" si="12"/>
        <v>121.06830893337317</v>
      </c>
      <c r="AP15" s="12">
        <f t="shared" si="13"/>
        <v>4821002.6199999992</v>
      </c>
      <c r="AQ15" s="44">
        <f t="shared" si="17"/>
        <v>246.83361148861127</v>
      </c>
      <c r="AR15" s="12">
        <f t="shared" si="18"/>
        <v>7962488.2399999993</v>
      </c>
      <c r="AS15" s="12">
        <f t="shared" si="19"/>
        <v>5714.330457757751</v>
      </c>
      <c r="AT15" s="34">
        <f>AF15</f>
        <v>8104312.5999999996</v>
      </c>
      <c r="AU15" s="86"/>
    </row>
    <row r="16" spans="1:47" s="10" customFormat="1" ht="65.25" hidden="1" customHeight="1" x14ac:dyDescent="0.3">
      <c r="A16" s="9"/>
      <c r="B16" s="132" t="s">
        <v>21</v>
      </c>
      <c r="C16" s="132"/>
      <c r="D16" s="132"/>
      <c r="E16" s="132"/>
      <c r="F16" s="132"/>
      <c r="G16" s="132"/>
      <c r="H16" s="132"/>
      <c r="I16" s="132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478399.34</v>
      </c>
      <c r="W16" s="12"/>
      <c r="X16" s="12"/>
      <c r="Y16" s="12">
        <f t="shared" si="20"/>
        <v>478399.34</v>
      </c>
      <c r="Z16" s="12">
        <v>15443000</v>
      </c>
      <c r="AA16" s="12">
        <v>14460000</v>
      </c>
      <c r="AB16" s="125">
        <v>1769380</v>
      </c>
      <c r="AC16" s="12">
        <f>17588.22+5645.39</f>
        <v>23233.61</v>
      </c>
      <c r="AD16" s="12">
        <f>22690.62+81334.6+1743.93</f>
        <v>105769.15</v>
      </c>
      <c r="AE16" s="12">
        <v>2026999.9700000007</v>
      </c>
      <c r="AF16" s="12">
        <f t="shared" si="21"/>
        <v>2132769.1200000006</v>
      </c>
      <c r="AG16" s="12">
        <f t="shared" si="9"/>
        <v>82535.539999999994</v>
      </c>
      <c r="AH16" s="44">
        <f t="shared" si="4"/>
        <v>-13310230.879999999</v>
      </c>
      <c r="AI16" s="44">
        <f t="shared" si="5"/>
        <v>13.810588098167459</v>
      </c>
      <c r="AJ16" s="12">
        <f t="shared" si="10"/>
        <v>-12327230.879999999</v>
      </c>
      <c r="AK16" s="44">
        <f t="shared" si="16"/>
        <v>14.749440663900419</v>
      </c>
      <c r="AL16" s="12" t="e">
        <f>AF16-#REF!</f>
        <v>#REF!</v>
      </c>
      <c r="AM16" s="12" t="e">
        <f>IF(#REF!=0,0,AF16/#REF!*100)</f>
        <v>#REF!</v>
      </c>
      <c r="AN16" s="44">
        <f t="shared" si="11"/>
        <v>363389.12000000058</v>
      </c>
      <c r="AO16" s="44">
        <f t="shared" si="12"/>
        <v>120.53765273711699</v>
      </c>
      <c r="AP16" s="12">
        <f t="shared" si="13"/>
        <v>1654369.7800000005</v>
      </c>
      <c r="AQ16" s="44">
        <f t="shared" si="17"/>
        <v>445.81355818760125</v>
      </c>
      <c r="AR16" s="12">
        <f t="shared" si="18"/>
        <v>972090.23000000068</v>
      </c>
      <c r="AS16" s="12">
        <f t="shared" si="19"/>
        <v>183.75186611690688</v>
      </c>
      <c r="AT16" s="34">
        <v>11117000</v>
      </c>
      <c r="AU16" s="86"/>
    </row>
    <row r="17" spans="1:47" s="10" customFormat="1" ht="24" hidden="1" customHeight="1" x14ac:dyDescent="0.3">
      <c r="A17" s="9"/>
      <c r="B17" s="132" t="s">
        <v>19</v>
      </c>
      <c r="C17" s="132"/>
      <c r="D17" s="132"/>
      <c r="E17" s="132"/>
      <c r="F17" s="132"/>
      <c r="G17" s="132"/>
      <c r="H17" s="132"/>
      <c r="I17" s="132"/>
      <c r="J17" s="12">
        <f t="shared" ref="J17:AF17" si="29">J18+J19</f>
        <v>59077329.089999996</v>
      </c>
      <c r="K17" s="12">
        <f t="shared" si="29"/>
        <v>59077329.089999996</v>
      </c>
      <c r="L17" s="12">
        <f t="shared" si="29"/>
        <v>13651268.75</v>
      </c>
      <c r="M17" s="12">
        <f t="shared" si="29"/>
        <v>13651268.75</v>
      </c>
      <c r="N17" s="12">
        <f t="shared" si="29"/>
        <v>57000020</v>
      </c>
      <c r="O17" s="12">
        <f t="shared" si="29"/>
        <v>59153838.839999996</v>
      </c>
      <c r="P17" s="12">
        <f t="shared" si="29"/>
        <v>59153838.839999996</v>
      </c>
      <c r="Q17" s="12">
        <v>59153838.839999996</v>
      </c>
      <c r="R17" s="12">
        <f t="shared" si="29"/>
        <v>59153838.839999996</v>
      </c>
      <c r="S17" s="12">
        <f t="shared" si="29"/>
        <v>54189000</v>
      </c>
      <c r="T17" s="12">
        <f t="shared" si="29"/>
        <v>55922478.88000001</v>
      </c>
      <c r="U17" s="12">
        <f t="shared" si="29"/>
        <v>55922478.88000001</v>
      </c>
      <c r="V17" s="12">
        <f t="shared" si="29"/>
        <v>18815666.579999998</v>
      </c>
      <c r="W17" s="12"/>
      <c r="X17" s="12">
        <f t="shared" si="29"/>
        <v>0</v>
      </c>
      <c r="Y17" s="12">
        <f>Y18+Y19</f>
        <v>18815666.579999998</v>
      </c>
      <c r="Z17" s="12">
        <f t="shared" ref="Z17:AD17" si="30">Z18+Z19</f>
        <v>57489000</v>
      </c>
      <c r="AA17" s="12">
        <f t="shared" si="30"/>
        <v>56779000</v>
      </c>
      <c r="AB17" s="125">
        <f t="shared" si="30"/>
        <v>19133542</v>
      </c>
      <c r="AC17" s="12">
        <f t="shared" ref="AC17" si="31">AC18+AC19</f>
        <v>83942.07</v>
      </c>
      <c r="AD17" s="12">
        <f t="shared" si="30"/>
        <v>170886.69999999998</v>
      </c>
      <c r="AE17" s="12">
        <v>17338432.669999998</v>
      </c>
      <c r="AF17" s="12">
        <f t="shared" si="29"/>
        <v>17509319.369999997</v>
      </c>
      <c r="AG17" s="12">
        <f t="shared" si="9"/>
        <v>86944.629999999976</v>
      </c>
      <c r="AH17" s="44">
        <f t="shared" si="4"/>
        <v>-39979680.630000003</v>
      </c>
      <c r="AI17" s="44">
        <f t="shared" si="5"/>
        <v>30.456816730157072</v>
      </c>
      <c r="AJ17" s="12">
        <f t="shared" si="10"/>
        <v>-39269680.630000003</v>
      </c>
      <c r="AK17" s="44">
        <f t="shared" si="16"/>
        <v>30.837667746878243</v>
      </c>
      <c r="AL17" s="12" t="e">
        <f>AF17-#REF!</f>
        <v>#REF!</v>
      </c>
      <c r="AM17" s="12" t="e">
        <f>IF(#REF!=0,0,AF17/#REF!*100)</f>
        <v>#REF!</v>
      </c>
      <c r="AN17" s="44">
        <f t="shared" si="11"/>
        <v>-1624222.6300000027</v>
      </c>
      <c r="AO17" s="44">
        <f t="shared" si="12"/>
        <v>91.511124129552158</v>
      </c>
      <c r="AP17" s="12">
        <f t="shared" si="13"/>
        <v>-1306347.2100000009</v>
      </c>
      <c r="AQ17" s="44">
        <f t="shared" si="17"/>
        <v>93.057130320386435</v>
      </c>
      <c r="AR17" s="12">
        <f t="shared" si="18"/>
        <v>3858050.6199999973</v>
      </c>
      <c r="AS17" s="12">
        <f t="shared" si="19"/>
        <v>128.26148023787164</v>
      </c>
      <c r="AT17" s="34">
        <f>AT18+AT19</f>
        <v>17509319.369999997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17584572.54-1299</f>
        <v>17583273.539999999</v>
      </c>
      <c r="W18" s="53"/>
      <c r="X18" s="53"/>
      <c r="Y18" s="13">
        <f>V18</f>
        <v>17583273.539999999</v>
      </c>
      <c r="Z18" s="66">
        <v>23363753.050000001</v>
      </c>
      <c r="AA18" s="66">
        <v>22995495</v>
      </c>
      <c r="AB18" s="126">
        <v>15496303</v>
      </c>
      <c r="AC18" s="13">
        <v>16616.689999999999</v>
      </c>
      <c r="AD18" s="13">
        <f>313.11</f>
        <v>313.11</v>
      </c>
      <c r="AE18" s="13">
        <v>13850482.119999997</v>
      </c>
      <c r="AF18" s="13">
        <f t="shared" si="21"/>
        <v>13850795.229999997</v>
      </c>
      <c r="AG18" s="13">
        <f t="shared" si="9"/>
        <v>-16303.579999999998</v>
      </c>
      <c r="AH18" s="44">
        <f t="shared" si="4"/>
        <v>-9512957.820000004</v>
      </c>
      <c r="AI18" s="44">
        <f t="shared" si="5"/>
        <v>59.283263268355746</v>
      </c>
      <c r="AJ18" s="13">
        <f t="shared" si="10"/>
        <v>-9144699.7700000033</v>
      </c>
      <c r="AK18" s="44">
        <f t="shared" si="16"/>
        <v>60.232646568382179</v>
      </c>
      <c r="AL18" s="13" t="e">
        <f>AF18-#REF!</f>
        <v>#REF!</v>
      </c>
      <c r="AM18" s="13" t="e">
        <f>IF(#REF!=0,0,AF18/#REF!*100)</f>
        <v>#REF!</v>
      </c>
      <c r="AN18" s="44">
        <f t="shared" si="11"/>
        <v>-1645507.7700000033</v>
      </c>
      <c r="AO18" s="44">
        <f t="shared" si="12"/>
        <v>89.381288104653066</v>
      </c>
      <c r="AP18" s="13">
        <f t="shared" si="13"/>
        <v>-3732478.3100000024</v>
      </c>
      <c r="AQ18" s="44">
        <f t="shared" si="17"/>
        <v>78.772563018433232</v>
      </c>
      <c r="AR18" s="13">
        <f t="shared" si="18"/>
        <v>3765178.7199999969</v>
      </c>
      <c r="AS18" s="13">
        <f t="shared" si="19"/>
        <v>137.33216225569137</v>
      </c>
      <c r="AT18" s="31">
        <f>AF18</f>
        <v>13850795.229999997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1232393.04</v>
      </c>
      <c r="W19" s="53"/>
      <c r="X19" s="53"/>
      <c r="Y19" s="13">
        <f>V19</f>
        <v>1232393.04</v>
      </c>
      <c r="Z19" s="66">
        <v>34125246.950000003</v>
      </c>
      <c r="AA19" s="66">
        <v>33783505</v>
      </c>
      <c r="AB19" s="126">
        <v>3637239</v>
      </c>
      <c r="AC19" s="13">
        <f>49640.14+17685.24</f>
        <v>67325.38</v>
      </c>
      <c r="AD19" s="13">
        <f>55003.28+108165.83+7404.48</f>
        <v>170573.59</v>
      </c>
      <c r="AE19" s="13">
        <v>3487950.5499999993</v>
      </c>
      <c r="AF19" s="13">
        <f t="shared" si="21"/>
        <v>3658524.1399999992</v>
      </c>
      <c r="AG19" s="13">
        <f t="shared" si="9"/>
        <v>103248.20999999999</v>
      </c>
      <c r="AH19" s="44">
        <f t="shared" si="4"/>
        <v>-30466722.810000002</v>
      </c>
      <c r="AI19" s="44">
        <f t="shared" si="5"/>
        <v>10.720872277819513</v>
      </c>
      <c r="AJ19" s="13">
        <f t="shared" si="10"/>
        <v>-30124980.859999999</v>
      </c>
      <c r="AK19" s="44">
        <f t="shared" si="16"/>
        <v>10.829320817955388</v>
      </c>
      <c r="AL19" s="13" t="e">
        <f>AF19-#REF!</f>
        <v>#REF!</v>
      </c>
      <c r="AM19" s="13" t="e">
        <f>IF(#REF!=0,0,AF19/#REF!*100)</f>
        <v>#REF!</v>
      </c>
      <c r="AN19" s="44">
        <f t="shared" si="11"/>
        <v>21285.139999999199</v>
      </c>
      <c r="AO19" s="44">
        <f t="shared" si="12"/>
        <v>100.58520047761502</v>
      </c>
      <c r="AP19" s="13">
        <f t="shared" si="13"/>
        <v>2426131.0999999992</v>
      </c>
      <c r="AQ19" s="44">
        <f t="shared" si="17"/>
        <v>296.86342110468257</v>
      </c>
      <c r="AR19" s="13">
        <f t="shared" si="18"/>
        <v>92871.899999998976</v>
      </c>
      <c r="AS19" s="13">
        <f t="shared" si="19"/>
        <v>102.60462585100557</v>
      </c>
      <c r="AT19" s="31">
        <f>AF19</f>
        <v>3658524.1399999992</v>
      </c>
      <c r="AU19" s="86"/>
    </row>
    <row r="20" spans="1:47" s="10" customFormat="1" ht="30.75" hidden="1" customHeight="1" x14ac:dyDescent="0.3">
      <c r="A20" s="9"/>
      <c r="B20" s="132" t="s">
        <v>18</v>
      </c>
      <c r="C20" s="132"/>
      <c r="D20" s="132"/>
      <c r="E20" s="132"/>
      <c r="F20" s="132"/>
      <c r="G20" s="132"/>
      <c r="H20" s="132"/>
      <c r="I20" s="132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4663453.4800000004</v>
      </c>
      <c r="W20" s="12"/>
      <c r="X20" s="12"/>
      <c r="Y20" s="12">
        <f>V20</f>
        <v>4663453.4800000004</v>
      </c>
      <c r="Z20" s="12">
        <v>7706000</v>
      </c>
      <c r="AA20" s="12">
        <v>7743000</v>
      </c>
      <c r="AB20" s="125">
        <v>4788431</v>
      </c>
      <c r="AC20" s="12">
        <f>294074.87+45293.95</f>
        <v>339368.82</v>
      </c>
      <c r="AD20" s="12">
        <f>244100.38+21068.62+79081.6</f>
        <v>344250.6</v>
      </c>
      <c r="AE20" s="12">
        <v>5397571.2300000004</v>
      </c>
      <c r="AF20" s="12">
        <f t="shared" si="21"/>
        <v>5741821.8300000001</v>
      </c>
      <c r="AG20" s="12">
        <f t="shared" si="9"/>
        <v>4881.7799999999697</v>
      </c>
      <c r="AH20" s="44">
        <f t="shared" si="4"/>
        <v>-1964178.17</v>
      </c>
      <c r="AI20" s="44">
        <f t="shared" si="5"/>
        <v>74.511054113677659</v>
      </c>
      <c r="AJ20" s="12">
        <f t="shared" si="10"/>
        <v>-2001178.17</v>
      </c>
      <c r="AK20" s="44">
        <f t="shared" si="16"/>
        <v>74.155002324680353</v>
      </c>
      <c r="AL20" s="12" t="e">
        <f>AF20-#REF!</f>
        <v>#REF!</v>
      </c>
      <c r="AM20" s="12" t="e">
        <f>IF(#REF!=0,0,AF20/#REF!*100)</f>
        <v>#REF!</v>
      </c>
      <c r="AN20" s="44">
        <f t="shared" si="11"/>
        <v>953390.83000000007</v>
      </c>
      <c r="AO20" s="44">
        <f t="shared" si="12"/>
        <v>119.91029692189363</v>
      </c>
      <c r="AP20" s="12">
        <f t="shared" si="13"/>
        <v>1078368.3499999996</v>
      </c>
      <c r="AQ20" s="44">
        <f t="shared" si="17"/>
        <v>123.12381488578717</v>
      </c>
      <c r="AR20" s="12">
        <f t="shared" si="18"/>
        <v>2667802.37</v>
      </c>
      <c r="AS20" s="12">
        <f t="shared" si="19"/>
        <v>186.78547435090081</v>
      </c>
      <c r="AT20" s="34">
        <f>AF20</f>
        <v>5741821.8300000001</v>
      </c>
      <c r="AU20" s="86"/>
    </row>
    <row r="21" spans="1:47" s="10" customFormat="1" ht="62.25" hidden="1" customHeight="1" x14ac:dyDescent="0.3">
      <c r="A21" s="9"/>
      <c r="B21" s="148" t="s">
        <v>57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1"/>
        <v>0</v>
      </c>
      <c r="AG21" s="12">
        <v>0</v>
      </c>
      <c r="AH21" s="44">
        <f t="shared" si="4"/>
        <v>0</v>
      </c>
      <c r="AI21" s="44">
        <v>0</v>
      </c>
      <c r="AJ21" s="12">
        <f t="shared" si="10"/>
        <v>0</v>
      </c>
      <c r="AK21" s="44">
        <v>0</v>
      </c>
      <c r="AL21" s="12"/>
      <c r="AM21" s="12"/>
      <c r="AN21" s="44">
        <f t="shared" si="11"/>
        <v>0</v>
      </c>
      <c r="AO21" s="44">
        <v>0</v>
      </c>
      <c r="AP21" s="12">
        <f t="shared" si="13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2">S23+S36+S37+S45+S48+S50</f>
        <v>86476358.480000004</v>
      </c>
      <c r="T22" s="71">
        <f t="shared" si="32"/>
        <v>93832615.929999977</v>
      </c>
      <c r="U22" s="71">
        <f>U23+U36+U37+U45+U48+U50</f>
        <v>91729067.069999978</v>
      </c>
      <c r="V22" s="71">
        <f>V23+V36+V37+V45+V48+V50</f>
        <v>55780238.839999996</v>
      </c>
      <c r="W22" s="71"/>
      <c r="X22" s="71">
        <f t="shared" ref="X22:AD22" si="33">X23+X36+X37+X45+X48+X50</f>
        <v>0</v>
      </c>
      <c r="Y22" s="71">
        <f t="shared" si="33"/>
        <v>55780238.839999996</v>
      </c>
      <c r="Z22" s="71">
        <f t="shared" si="33"/>
        <v>76980199.650000006</v>
      </c>
      <c r="AA22" s="71">
        <f t="shared" si="33"/>
        <v>85647440.349999994</v>
      </c>
      <c r="AB22" s="127">
        <f t="shared" si="33"/>
        <v>57129488.799999997</v>
      </c>
      <c r="AC22" s="71">
        <f t="shared" ref="AC22" si="34">AC23+AC36+AC37+AC45+AC48+AC50</f>
        <v>952732.23</v>
      </c>
      <c r="AD22" s="71">
        <f t="shared" si="33"/>
        <v>439882.26</v>
      </c>
      <c r="AE22" s="71">
        <v>58647601.669999994</v>
      </c>
      <c r="AF22" s="71">
        <f>AF23+AF36+AF37+AF45+AF48+AF50</f>
        <v>59087483.929999992</v>
      </c>
      <c r="AG22" s="71">
        <f t="shared" ref="AG22" si="35">AD22-AC22</f>
        <v>-512849.97</v>
      </c>
      <c r="AH22" s="72">
        <f t="shared" si="4"/>
        <v>-17892715.720000014</v>
      </c>
      <c r="AI22" s="72">
        <f t="shared" ref="AI22" si="36">AF22/Z22*100</f>
        <v>76.756729910611483</v>
      </c>
      <c r="AJ22" s="71">
        <f t="shared" si="10"/>
        <v>-26559956.420000002</v>
      </c>
      <c r="AK22" s="72">
        <f t="shared" ref="AK22" si="37">AF22/AA22%</f>
        <v>68.989200014078406</v>
      </c>
      <c r="AL22" s="71" t="e">
        <f>AF22-#REF!</f>
        <v>#REF!</v>
      </c>
      <c r="AM22" s="71" t="e">
        <f>IF(#REF!=0,0,AF22/#REF!*100)</f>
        <v>#REF!</v>
      </c>
      <c r="AN22" s="72">
        <f t="shared" si="11"/>
        <v>1957995.1299999952</v>
      </c>
      <c r="AO22" s="72">
        <f t="shared" ref="AO22" si="38">AF22/AB22*100</f>
        <v>103.42729327905344</v>
      </c>
      <c r="AP22" s="71">
        <f t="shared" si="13"/>
        <v>3307245.0899999961</v>
      </c>
      <c r="AQ22" s="72">
        <f t="shared" ref="AQ22" si="39">AF22/Y22%</f>
        <v>105.92906226071656</v>
      </c>
      <c r="AR22" s="12"/>
      <c r="AS22" s="12"/>
      <c r="AT22" s="34"/>
    </row>
    <row r="23" spans="1:47" s="10" customFormat="1" ht="83.25" hidden="1" customHeight="1" x14ac:dyDescent="0.3">
      <c r="A23" s="9"/>
      <c r="B23" s="132" t="s">
        <v>17</v>
      </c>
      <c r="C23" s="132"/>
      <c r="D23" s="132"/>
      <c r="E23" s="132"/>
      <c r="F23" s="132"/>
      <c r="G23" s="132"/>
      <c r="H23" s="132"/>
      <c r="I23" s="132"/>
      <c r="J23" s="60">
        <f t="shared" ref="J23:AF23" si="40">J24+J27+J29+J31</f>
        <v>39449619.330000006</v>
      </c>
      <c r="K23" s="60">
        <f t="shared" si="40"/>
        <v>39449619.330000006</v>
      </c>
      <c r="L23" s="60">
        <f t="shared" si="40"/>
        <v>10238465.989999998</v>
      </c>
      <c r="M23" s="60">
        <f t="shared" si="40"/>
        <v>10238465.989999998</v>
      </c>
      <c r="N23" s="12">
        <f t="shared" si="40"/>
        <v>42188190.339999996</v>
      </c>
      <c r="O23" s="12">
        <f t="shared" si="40"/>
        <v>49536681.379999995</v>
      </c>
      <c r="P23" s="12">
        <f t="shared" si="40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1">S24+S27+S29+S31</f>
        <v>42777461.119999997</v>
      </c>
      <c r="T23" s="12">
        <f t="shared" si="41"/>
        <v>47630236.639999993</v>
      </c>
      <c r="U23" s="12">
        <f>U24+U27+U29+U31</f>
        <v>46969616.779999994</v>
      </c>
      <c r="V23" s="12">
        <f t="shared" ref="V23:X23" si="42">V24+V27+V29+V31</f>
        <v>27709287.140000001</v>
      </c>
      <c r="W23" s="12"/>
      <c r="X23" s="12">
        <f t="shared" si="42"/>
        <v>0</v>
      </c>
      <c r="Y23" s="12">
        <f>Y24+Y27+Y29+Y31</f>
        <v>27709287.140000001</v>
      </c>
      <c r="Z23" s="12">
        <f t="shared" ref="Z23:AD23" si="43">Z24+Z27+Z29+Z31</f>
        <v>47029000</v>
      </c>
      <c r="AA23" s="12">
        <f t="shared" si="43"/>
        <v>49534190</v>
      </c>
      <c r="AB23" s="125">
        <f t="shared" si="43"/>
        <v>31516569.949999999</v>
      </c>
      <c r="AC23" s="12">
        <f t="shared" ref="AC23" si="44">AC24+AC27+AC29+AC31</f>
        <v>318735.08</v>
      </c>
      <c r="AD23" s="12">
        <f t="shared" si="43"/>
        <v>167418.29</v>
      </c>
      <c r="AE23" s="12">
        <v>27067476.139999997</v>
      </c>
      <c r="AF23" s="12">
        <f t="shared" si="40"/>
        <v>27234894.43</v>
      </c>
      <c r="AG23" s="12">
        <f t="shared" si="9"/>
        <v>-151316.79</v>
      </c>
      <c r="AH23" s="44">
        <f t="shared" si="4"/>
        <v>-19794105.57</v>
      </c>
      <c r="AI23" s="44">
        <f t="shared" si="5"/>
        <v>57.91085166599332</v>
      </c>
      <c r="AJ23" s="12">
        <f t="shared" si="10"/>
        <v>-22299295.57</v>
      </c>
      <c r="AK23" s="44">
        <f t="shared" si="16"/>
        <v>54.982012282829288</v>
      </c>
      <c r="AL23" s="12" t="e">
        <f>AF23-#REF!</f>
        <v>#REF!</v>
      </c>
      <c r="AM23" s="12" t="e">
        <f>IF(#REF!=0,0,AF23/#REF!*100)</f>
        <v>#REF!</v>
      </c>
      <c r="AN23" s="44">
        <f t="shared" si="11"/>
        <v>-4281675.5199999996</v>
      </c>
      <c r="AO23" s="44">
        <f t="shared" si="12"/>
        <v>86.414525670805105</v>
      </c>
      <c r="AP23" s="12">
        <f t="shared" si="13"/>
        <v>-474392.71000000089</v>
      </c>
      <c r="AQ23" s="44">
        <f t="shared" si="17"/>
        <v>98.287964942572671</v>
      </c>
      <c r="AR23" s="12">
        <f>AF23-M23</f>
        <v>16996428.440000001</v>
      </c>
      <c r="AS23" s="12">
        <f>IF(M23=0,0,AF23/M23*100)</f>
        <v>266.0056150657781</v>
      </c>
      <c r="AT23" s="34">
        <f>AT24+AT27+AT29+AT31</f>
        <v>26509692.050000001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5">U25+U26</f>
        <v>44043460.589999996</v>
      </c>
      <c r="V24" s="12">
        <f>V25+V26</f>
        <v>26127122.579999998</v>
      </c>
      <c r="W24" s="13"/>
      <c r="X24" s="13">
        <f t="shared" si="45"/>
        <v>0</v>
      </c>
      <c r="Y24" s="12">
        <f t="shared" si="45"/>
        <v>26127122.579999998</v>
      </c>
      <c r="Z24" s="12">
        <f t="shared" si="45"/>
        <v>46880510</v>
      </c>
      <c r="AA24" s="12">
        <f>AA25+AA26</f>
        <v>47982367.740000002</v>
      </c>
      <c r="AB24" s="125">
        <f>AB25+AB26</f>
        <v>30124800</v>
      </c>
      <c r="AC24" s="12">
        <f t="shared" ref="AC24" si="46">AC25+AC26</f>
        <v>312719.7</v>
      </c>
      <c r="AD24" s="12">
        <f t="shared" ref="AD24" si="47">AD25+AD26</f>
        <v>139250.22</v>
      </c>
      <c r="AE24" s="12">
        <v>25358731.5</v>
      </c>
      <c r="AF24" s="12">
        <f t="shared" ref="AF24" si="48">AF25+AF26</f>
        <v>25497981.720000003</v>
      </c>
      <c r="AG24" s="12">
        <f>AD24-AC24</f>
        <v>-173469.48</v>
      </c>
      <c r="AH24" s="44">
        <f t="shared" si="4"/>
        <v>-21382528.279999997</v>
      </c>
      <c r="AI24" s="44">
        <f t="shared" si="5"/>
        <v>54.389301054958658</v>
      </c>
      <c r="AJ24" s="12">
        <f t="shared" si="10"/>
        <v>-22484386.02</v>
      </c>
      <c r="AK24" s="44">
        <f t="shared" si="16"/>
        <v>53.140315747161168</v>
      </c>
      <c r="AL24" s="12" t="e">
        <f>AF24-#REF!</f>
        <v>#REF!</v>
      </c>
      <c r="AM24" s="12" t="e">
        <f>IF(#REF!=0,0,AF24/#REF!*100)</f>
        <v>#REF!</v>
      </c>
      <c r="AN24" s="44">
        <f t="shared" si="11"/>
        <v>-4626818.2799999975</v>
      </c>
      <c r="AO24" s="44">
        <f t="shared" si="12"/>
        <v>84.64116515296368</v>
      </c>
      <c r="AP24" s="12">
        <f t="shared" si="13"/>
        <v>-629140.85999999568</v>
      </c>
      <c r="AQ24" s="44">
        <f t="shared" si="17"/>
        <v>97.592000963467768</v>
      </c>
      <c r="AR24" s="12">
        <f>AF24-M24</f>
        <v>15629837.110000003</v>
      </c>
      <c r="AS24" s="12">
        <f>IF(M24=0,0,AF24/M24*100)</f>
        <v>258.38678624714646</v>
      </c>
      <c r="AT24" s="31">
        <f>AF24</f>
        <v>25497981.720000003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17909537.129999999</v>
      </c>
      <c r="W25" s="13"/>
      <c r="X25" s="13"/>
      <c r="Y25" s="13">
        <f>V25</f>
        <v>17909537.129999999</v>
      </c>
      <c r="Z25" s="13">
        <v>34696660</v>
      </c>
      <c r="AA25" s="13">
        <v>36508280</v>
      </c>
      <c r="AB25" s="18">
        <v>21668800</v>
      </c>
      <c r="AC25" s="13">
        <f>255755.78+39824.87</f>
        <v>295580.65000000002</v>
      </c>
      <c r="AD25" s="13">
        <f>64705.58+67899.5+6534.31+732.93</f>
        <v>139872.32000000001</v>
      </c>
      <c r="AE25" s="13">
        <v>16263777.780000001</v>
      </c>
      <c r="AF25" s="13">
        <f t="shared" si="21"/>
        <v>16403650.100000001</v>
      </c>
      <c r="AG25" s="13">
        <f>AD25-AC25</f>
        <v>-155708.33000000002</v>
      </c>
      <c r="AH25" s="44">
        <f t="shared" si="4"/>
        <v>-18293009.899999999</v>
      </c>
      <c r="AI25" s="44">
        <f t="shared" si="5"/>
        <v>47.277317470903547</v>
      </c>
      <c r="AJ25" s="13">
        <f t="shared" si="10"/>
        <v>-20104629.899999999</v>
      </c>
      <c r="AK25" s="42">
        <f t="shared" si="16"/>
        <v>44.931314485371544</v>
      </c>
      <c r="AL25" s="13"/>
      <c r="AM25" s="13"/>
      <c r="AN25" s="42">
        <f t="shared" si="11"/>
        <v>-5265149.8999999985</v>
      </c>
      <c r="AO25" s="42">
        <f t="shared" si="12"/>
        <v>75.701700601786897</v>
      </c>
      <c r="AP25" s="13">
        <f t="shared" si="13"/>
        <v>-1505887.0299999975</v>
      </c>
      <c r="AQ25" s="42">
        <f t="shared" si="17"/>
        <v>91.591703241299797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5196180.77+3021404.68</f>
        <v>8217585.4499999993</v>
      </c>
      <c r="W26" s="16"/>
      <c r="X26" s="16"/>
      <c r="Y26" s="13">
        <f>V26</f>
        <v>8217585.4499999993</v>
      </c>
      <c r="Z26" s="13">
        <v>12183850</v>
      </c>
      <c r="AA26" s="13">
        <f>6966987.74+4507100</f>
        <v>11474087.74</v>
      </c>
      <c r="AB26" s="18">
        <v>8456000</v>
      </c>
      <c r="AC26" s="13">
        <v>17139.05</v>
      </c>
      <c r="AD26" s="13">
        <f>-13288.1+12666</f>
        <v>-622.10000000000036</v>
      </c>
      <c r="AE26" s="13">
        <v>9094953.7200000007</v>
      </c>
      <c r="AF26" s="13">
        <f t="shared" si="21"/>
        <v>9094331.620000001</v>
      </c>
      <c r="AG26" s="13">
        <f>AD26-AC26</f>
        <v>-17761.150000000001</v>
      </c>
      <c r="AH26" s="44">
        <f t="shared" si="4"/>
        <v>-3089518.379999999</v>
      </c>
      <c r="AI26" s="44">
        <f t="shared" si="5"/>
        <v>74.642511357247514</v>
      </c>
      <c r="AJ26" s="12">
        <f t="shared" si="10"/>
        <v>-2379756.1199999992</v>
      </c>
      <c r="AK26" s="42">
        <f t="shared" si="16"/>
        <v>79.25973572867241</v>
      </c>
      <c r="AL26" s="13"/>
      <c r="AM26" s="13"/>
      <c r="AN26" s="42">
        <f t="shared" si="11"/>
        <v>638331.62000000104</v>
      </c>
      <c r="AO26" s="42">
        <f t="shared" si="12"/>
        <v>107.54886021759698</v>
      </c>
      <c r="AP26" s="13">
        <f t="shared" si="13"/>
        <v>876746.17000000179</v>
      </c>
      <c r="AQ26" s="42">
        <f t="shared" si="17"/>
        <v>110.66914576470882</v>
      </c>
      <c r="AR26" s="12"/>
      <c r="AS26" s="12"/>
      <c r="AT26" s="31"/>
      <c r="AU26" s="107" t="s">
        <v>95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AD27" si="49">S28</f>
        <v>989651.62</v>
      </c>
      <c r="T27" s="12">
        <f t="shared" si="49"/>
        <v>1733380.9700000002</v>
      </c>
      <c r="U27" s="13">
        <f t="shared" si="49"/>
        <v>1733380.9700000002</v>
      </c>
      <c r="V27" s="12">
        <f t="shared" si="49"/>
        <v>928198.96</v>
      </c>
      <c r="W27" s="13"/>
      <c r="X27" s="13"/>
      <c r="Y27" s="12">
        <f t="shared" si="49"/>
        <v>928198.96</v>
      </c>
      <c r="Z27" s="12">
        <f t="shared" si="49"/>
        <v>100490</v>
      </c>
      <c r="AA27" s="12">
        <f t="shared" si="49"/>
        <v>767832.26</v>
      </c>
      <c r="AB27" s="125">
        <f t="shared" si="49"/>
        <v>690167.64</v>
      </c>
      <c r="AC27" s="12">
        <f t="shared" si="49"/>
        <v>4243.38</v>
      </c>
      <c r="AD27" s="12">
        <f t="shared" si="49"/>
        <v>24893.07</v>
      </c>
      <c r="AE27" s="12">
        <v>956509.86000000022</v>
      </c>
      <c r="AF27" s="12">
        <f t="shared" ref="AF27" si="50">AF28</f>
        <v>981402.93000000017</v>
      </c>
      <c r="AG27" s="12">
        <f t="shared" si="9"/>
        <v>20649.689999999999</v>
      </c>
      <c r="AH27" s="44">
        <f t="shared" si="4"/>
        <v>880912.93000000017</v>
      </c>
      <c r="AI27" s="44">
        <f t="shared" si="5"/>
        <v>976.61750422927673</v>
      </c>
      <c r="AJ27" s="12">
        <f t="shared" si="10"/>
        <v>213570.67000000016</v>
      </c>
      <c r="AK27" s="44">
        <f t="shared" si="16"/>
        <v>127.81475605101564</v>
      </c>
      <c r="AL27" s="12" t="e">
        <f>AF27-#REF!</f>
        <v>#REF!</v>
      </c>
      <c r="AM27" s="12" t="e">
        <f>IF(#REF!=0,0,AF27/#REF!*100)</f>
        <v>#REF!</v>
      </c>
      <c r="AN27" s="44">
        <f t="shared" si="11"/>
        <v>291235.29000000015</v>
      </c>
      <c r="AO27" s="44">
        <f t="shared" si="12"/>
        <v>142.19776082228373</v>
      </c>
      <c r="AP27" s="12">
        <f t="shared" si="13"/>
        <v>53203.970000000205</v>
      </c>
      <c r="AQ27" s="44">
        <f t="shared" si="17"/>
        <v>105.73195751048894</v>
      </c>
      <c r="AR27" s="12">
        <f>AF27-M27</f>
        <v>647677.09000000008</v>
      </c>
      <c r="AS27" s="12">
        <f>IF(M27=0,0,AF27/M27*100)</f>
        <v>294.07460027668219</v>
      </c>
      <c r="AT27" s="31">
        <f>AF27</f>
        <v>981402.93000000017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198477.99+729720.97</f>
        <v>928198.96</v>
      </c>
      <c r="W28" s="16"/>
      <c r="X28" s="16"/>
      <c r="Y28" s="16">
        <f>V28</f>
        <v>928198.96</v>
      </c>
      <c r="Z28" s="16">
        <v>100490</v>
      </c>
      <c r="AA28" s="16">
        <f>164952.06+602880.2</f>
        <v>767832.26</v>
      </c>
      <c r="AB28" s="126">
        <v>690167.64</v>
      </c>
      <c r="AC28" s="13">
        <v>4243.38</v>
      </c>
      <c r="AD28" s="13">
        <f>16373.07+8520</f>
        <v>24893.07</v>
      </c>
      <c r="AE28" s="13">
        <v>956509.86000000022</v>
      </c>
      <c r="AF28" s="13">
        <f t="shared" si="21"/>
        <v>981402.93000000017</v>
      </c>
      <c r="AG28" s="13">
        <f>AD28-AC28</f>
        <v>20649.689999999999</v>
      </c>
      <c r="AH28" s="44">
        <f t="shared" si="4"/>
        <v>880912.93000000017</v>
      </c>
      <c r="AI28" s="44">
        <f t="shared" si="5"/>
        <v>976.61750422927673</v>
      </c>
      <c r="AJ28" s="13">
        <f t="shared" si="10"/>
        <v>213570.67000000016</v>
      </c>
      <c r="AK28" s="42">
        <f t="shared" si="16"/>
        <v>127.81475605101564</v>
      </c>
      <c r="AL28" s="16"/>
      <c r="AM28" s="16"/>
      <c r="AN28" s="42">
        <f t="shared" si="11"/>
        <v>291235.29000000015</v>
      </c>
      <c r="AO28" s="42">
        <f t="shared" si="12"/>
        <v>142.19776082228373</v>
      </c>
      <c r="AP28" s="13">
        <f t="shared" si="13"/>
        <v>53203.970000000205</v>
      </c>
      <c r="AQ28" s="42">
        <f t="shared" si="17"/>
        <v>105.73195751048894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33" t="s">
        <v>16</v>
      </c>
      <c r="C29" s="133"/>
      <c r="D29" s="133"/>
      <c r="E29" s="133"/>
      <c r="F29" s="133"/>
      <c r="G29" s="133"/>
      <c r="H29" s="133"/>
      <c r="I29" s="133"/>
      <c r="J29" s="12">
        <f t="shared" ref="J29:AD29" si="51">J30</f>
        <v>13500</v>
      </c>
      <c r="K29" s="12">
        <f t="shared" si="51"/>
        <v>13500</v>
      </c>
      <c r="L29" s="12">
        <f t="shared" si="51"/>
        <v>13500</v>
      </c>
      <c r="M29" s="12">
        <f t="shared" si="51"/>
        <v>13500</v>
      </c>
      <c r="N29" s="12">
        <f t="shared" si="51"/>
        <v>145882.54999999999</v>
      </c>
      <c r="O29" s="12">
        <f t="shared" si="51"/>
        <v>145882.54999999999</v>
      </c>
      <c r="P29" s="12">
        <f t="shared" si="51"/>
        <v>145882.54999999999</v>
      </c>
      <c r="Q29" s="12">
        <v>145882.54999999999</v>
      </c>
      <c r="R29" s="12">
        <f t="shared" si="51"/>
        <v>145882.54999999999</v>
      </c>
      <c r="S29" s="12">
        <f t="shared" si="51"/>
        <v>65907.5</v>
      </c>
      <c r="T29" s="12">
        <f t="shared" si="51"/>
        <v>65907.5</v>
      </c>
      <c r="U29" s="12">
        <f>U30</f>
        <v>65907.5</v>
      </c>
      <c r="V29" s="12">
        <f t="shared" ref="V29:X29" si="52">V30</f>
        <v>65907.5</v>
      </c>
      <c r="W29" s="12"/>
      <c r="X29" s="12">
        <f t="shared" si="52"/>
        <v>0</v>
      </c>
      <c r="Y29" s="12">
        <f>Y30</f>
        <v>65907.5</v>
      </c>
      <c r="Z29" s="12">
        <f t="shared" si="51"/>
        <v>0</v>
      </c>
      <c r="AA29" s="12">
        <f t="shared" si="51"/>
        <v>60000</v>
      </c>
      <c r="AB29" s="125">
        <f t="shared" si="51"/>
        <v>60000</v>
      </c>
      <c r="AC29" s="12">
        <f t="shared" si="51"/>
        <v>0</v>
      </c>
      <c r="AD29" s="12">
        <f t="shared" si="51"/>
        <v>0</v>
      </c>
      <c r="AE29" s="12">
        <v>30307.4</v>
      </c>
      <c r="AF29" s="12">
        <f>AF30</f>
        <v>30307.4</v>
      </c>
      <c r="AG29" s="12">
        <f t="shared" si="9"/>
        <v>0</v>
      </c>
      <c r="AH29" s="44">
        <f t="shared" si="4"/>
        <v>30307.4</v>
      </c>
      <c r="AI29" s="44">
        <v>0</v>
      </c>
      <c r="AJ29" s="12">
        <f t="shared" si="10"/>
        <v>-29692.6</v>
      </c>
      <c r="AK29" s="44">
        <f t="shared" si="16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11"/>
        <v>-29692.6</v>
      </c>
      <c r="AO29" s="44">
        <f t="shared" si="12"/>
        <v>50.512333333333338</v>
      </c>
      <c r="AP29" s="12">
        <f t="shared" si="13"/>
        <v>-35600.1</v>
      </c>
      <c r="AQ29" s="44">
        <f t="shared" si="17"/>
        <v>45.984751356067214</v>
      </c>
      <c r="AR29" s="12">
        <f t="shared" ref="AR29:AR38" si="53">AF29-M29</f>
        <v>16807.400000000001</v>
      </c>
      <c r="AS29" s="12">
        <f t="shared" ref="AS29:AS38" si="54">IF(M29=0,0,AF29/M29*100)</f>
        <v>224.49925925925928</v>
      </c>
      <c r="AT29" s="34">
        <f t="shared" ref="AT29" si="55">AT30</f>
        <v>30307.4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1"/>
        <v>30307.4</v>
      </c>
      <c r="AG30" s="13">
        <f t="shared" si="9"/>
        <v>0</v>
      </c>
      <c r="AH30" s="44">
        <f t="shared" si="4"/>
        <v>30307.4</v>
      </c>
      <c r="AI30" s="44">
        <v>0</v>
      </c>
      <c r="AJ30" s="13">
        <f t="shared" si="10"/>
        <v>-29692.6</v>
      </c>
      <c r="AK30" s="42">
        <f t="shared" si="16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11"/>
        <v>-29692.6</v>
      </c>
      <c r="AO30" s="42">
        <f t="shared" si="12"/>
        <v>50.512333333333338</v>
      </c>
      <c r="AP30" s="13">
        <f t="shared" si="13"/>
        <v>-35600.1</v>
      </c>
      <c r="AQ30" s="42">
        <f t="shared" si="17"/>
        <v>45.984751356067214</v>
      </c>
      <c r="AR30" s="12">
        <f t="shared" si="53"/>
        <v>16807.400000000001</v>
      </c>
      <c r="AS30" s="12">
        <f t="shared" si="54"/>
        <v>224.49925925925928</v>
      </c>
      <c r="AT30" s="31">
        <f>AF30</f>
        <v>30307.4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56">J35</f>
        <v>59624.2</v>
      </c>
      <c r="K31" s="12">
        <f t="shared" si="56"/>
        <v>59624.2</v>
      </c>
      <c r="L31" s="12">
        <f t="shared" si="56"/>
        <v>23095.54</v>
      </c>
      <c r="M31" s="12">
        <f t="shared" si="56"/>
        <v>23095.54</v>
      </c>
      <c r="N31" s="12">
        <f t="shared" si="56"/>
        <v>33317.79</v>
      </c>
      <c r="O31" s="12">
        <f t="shared" si="56"/>
        <v>67233.87</v>
      </c>
      <c r="P31" s="12">
        <f t="shared" si="56"/>
        <v>67233.87</v>
      </c>
      <c r="Q31" s="12">
        <v>67233.87</v>
      </c>
      <c r="R31" s="12">
        <f t="shared" si="56"/>
        <v>67233.87</v>
      </c>
      <c r="S31" s="12">
        <f t="shared" ref="S31:T31" si="57">S32+S33+S34+S35</f>
        <v>1027310</v>
      </c>
      <c r="T31" s="12">
        <f t="shared" si="57"/>
        <v>1126867.72</v>
      </c>
      <c r="U31" s="12">
        <f>U32+U33+U34+U35</f>
        <v>1126867.72</v>
      </c>
      <c r="V31" s="12">
        <f t="shared" ref="V31:Y31" si="58">V32+V33+V34+V35</f>
        <v>588058.1</v>
      </c>
      <c r="W31" s="12">
        <f t="shared" si="58"/>
        <v>0</v>
      </c>
      <c r="X31" s="12">
        <f t="shared" si="58"/>
        <v>0</v>
      </c>
      <c r="Y31" s="12">
        <f t="shared" si="58"/>
        <v>588058.1</v>
      </c>
      <c r="Z31" s="12">
        <f>Z32+Z33+Z34+Z35</f>
        <v>48000</v>
      </c>
      <c r="AA31" s="12">
        <f t="shared" ref="AA31:AD31" si="59">AA32+AA33+AA34+AA35</f>
        <v>723990</v>
      </c>
      <c r="AB31" s="125">
        <f t="shared" si="59"/>
        <v>641602.31000000006</v>
      </c>
      <c r="AC31" s="12">
        <f t="shared" ref="AC31" si="60">AC32+AC33+AC34+AC35</f>
        <v>1772</v>
      </c>
      <c r="AD31" s="12">
        <f t="shared" si="59"/>
        <v>3275</v>
      </c>
      <c r="AE31" s="12">
        <v>721927.38000000012</v>
      </c>
      <c r="AF31" s="12">
        <f t="shared" ref="AF31" si="61">AF32+AF33+AF34+AF35</f>
        <v>725202.38000000012</v>
      </c>
      <c r="AG31" s="12">
        <f t="shared" si="9"/>
        <v>1503</v>
      </c>
      <c r="AH31" s="44">
        <f t="shared" si="4"/>
        <v>677202.38000000012</v>
      </c>
      <c r="AI31" s="44">
        <v>0</v>
      </c>
      <c r="AJ31" s="12">
        <f t="shared" si="10"/>
        <v>1212.3800000001211</v>
      </c>
      <c r="AK31" s="44">
        <f t="shared" si="16"/>
        <v>100.16745811406237</v>
      </c>
      <c r="AL31" s="12" t="e">
        <f>AF31-#REF!</f>
        <v>#REF!</v>
      </c>
      <c r="AM31" s="12" t="e">
        <f>IF(#REF!=0,0,AF31/#REF!*100)</f>
        <v>#REF!</v>
      </c>
      <c r="AN31" s="44">
        <f t="shared" si="11"/>
        <v>83600.070000000065</v>
      </c>
      <c r="AO31" s="44">
        <f t="shared" si="12"/>
        <v>113.02988918478178</v>
      </c>
      <c r="AP31" s="12">
        <f t="shared" si="13"/>
        <v>137144.28000000014</v>
      </c>
      <c r="AQ31" s="44">
        <f t="shared" si="17"/>
        <v>123.3215527513353</v>
      </c>
      <c r="AR31" s="12">
        <f t="shared" si="53"/>
        <v>702106.84000000008</v>
      </c>
      <c r="AS31" s="12">
        <f t="shared" si="54"/>
        <v>3140.0104955329043</v>
      </c>
      <c r="AT31" s="34">
        <f t="shared" ref="AT31" si="62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500067.42</v>
      </c>
      <c r="W32" s="13"/>
      <c r="X32" s="13"/>
      <c r="Y32" s="13">
        <f>V32</f>
        <v>500067.42</v>
      </c>
      <c r="Z32" s="13"/>
      <c r="AA32" s="13">
        <v>600940</v>
      </c>
      <c r="AB32" s="18">
        <v>542969.03</v>
      </c>
      <c r="AC32" s="113">
        <v>1000</v>
      </c>
      <c r="AD32" s="113">
        <v>2000</v>
      </c>
      <c r="AE32" s="13">
        <v>588834.88000000012</v>
      </c>
      <c r="AF32" s="13">
        <f t="shared" si="21"/>
        <v>590834.88000000012</v>
      </c>
      <c r="AG32" s="13">
        <f t="shared" si="9"/>
        <v>1000</v>
      </c>
      <c r="AH32" s="44"/>
      <c r="AI32" s="44"/>
      <c r="AJ32" s="13">
        <f t="shared" si="10"/>
        <v>-10105.119999999879</v>
      </c>
      <c r="AK32" s="42">
        <f t="shared" si="16"/>
        <v>98.318447765167932</v>
      </c>
      <c r="AL32" s="12"/>
      <c r="AM32" s="12"/>
      <c r="AN32" s="42">
        <f t="shared" si="11"/>
        <v>47865.850000000093</v>
      </c>
      <c r="AO32" s="42">
        <f t="shared" si="12"/>
        <v>108.81557646114734</v>
      </c>
      <c r="AP32" s="13">
        <f t="shared" si="13"/>
        <v>90767.460000000137</v>
      </c>
      <c r="AQ32" s="42">
        <f t="shared" si="17"/>
        <v>118.15104451315788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f>14465.55+505</f>
        <v>14970.55</v>
      </c>
      <c r="W33" s="13"/>
      <c r="X33" s="13"/>
      <c r="Y33" s="13">
        <f t="shared" ref="Y33:Y35" si="63">V33</f>
        <v>14970.55</v>
      </c>
      <c r="Z33" s="13"/>
      <c r="AA33" s="13">
        <v>61000</v>
      </c>
      <c r="AB33" s="18">
        <v>61000</v>
      </c>
      <c r="AC33" s="113">
        <v>772</v>
      </c>
      <c r="AD33" s="113">
        <v>1275</v>
      </c>
      <c r="AE33" s="13">
        <v>89474.500000000015</v>
      </c>
      <c r="AF33" s="13">
        <f t="shared" si="21"/>
        <v>90749.500000000015</v>
      </c>
      <c r="AG33" s="13">
        <f t="shared" si="9"/>
        <v>503</v>
      </c>
      <c r="AH33" s="44"/>
      <c r="AI33" s="44"/>
      <c r="AJ33" s="13">
        <f t="shared" si="10"/>
        <v>29749.500000000015</v>
      </c>
      <c r="AK33" s="42">
        <f t="shared" si="16"/>
        <v>148.76967213114756</v>
      </c>
      <c r="AL33" s="12"/>
      <c r="AM33" s="12"/>
      <c r="AN33" s="42">
        <f t="shared" si="11"/>
        <v>29749.500000000015</v>
      </c>
      <c r="AO33" s="42">
        <f t="shared" si="12"/>
        <v>148.76967213114756</v>
      </c>
      <c r="AP33" s="13">
        <f t="shared" si="13"/>
        <v>75778.950000000012</v>
      </c>
      <c r="AQ33" s="42">
        <f t="shared" si="17"/>
        <v>606.18681344372794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3"/>
        <v>21702.84</v>
      </c>
      <c r="Z34" s="13"/>
      <c r="AA34" s="13">
        <v>62050</v>
      </c>
      <c r="AB34" s="18">
        <v>37633.279999999999</v>
      </c>
      <c r="AC34" s="113">
        <v>0</v>
      </c>
      <c r="AD34" s="113">
        <v>0</v>
      </c>
      <c r="AE34" s="13">
        <v>43618</v>
      </c>
      <c r="AF34" s="13">
        <f t="shared" si="21"/>
        <v>43618</v>
      </c>
      <c r="AG34" s="13">
        <f t="shared" si="9"/>
        <v>0</v>
      </c>
      <c r="AH34" s="44"/>
      <c r="AI34" s="44"/>
      <c r="AJ34" s="13">
        <f t="shared" si="10"/>
        <v>-18432</v>
      </c>
      <c r="AK34" s="42">
        <f t="shared" si="16"/>
        <v>70.294923448831582</v>
      </c>
      <c r="AL34" s="12"/>
      <c r="AM34" s="12"/>
      <c r="AN34" s="42">
        <f t="shared" si="11"/>
        <v>5984.7200000000012</v>
      </c>
      <c r="AO34" s="42">
        <f t="shared" si="12"/>
        <v>115.90273290024149</v>
      </c>
      <c r="AP34" s="13">
        <f t="shared" si="13"/>
        <v>21915.16</v>
      </c>
      <c r="AQ34" s="42">
        <f t="shared" si="17"/>
        <v>200.9783051434743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51317.29</v>
      </c>
      <c r="W35" s="13"/>
      <c r="X35" s="13"/>
      <c r="Y35" s="13">
        <f t="shared" si="63"/>
        <v>51317.29</v>
      </c>
      <c r="Z35" s="13">
        <v>48000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1"/>
        <v>0</v>
      </c>
      <c r="AG35" s="13">
        <f t="shared" si="9"/>
        <v>0</v>
      </c>
      <c r="AH35" s="44">
        <f t="shared" si="4"/>
        <v>-48000</v>
      </c>
      <c r="AI35" s="44">
        <v>0</v>
      </c>
      <c r="AJ35" s="13">
        <f t="shared" si="10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1"/>
        <v>0</v>
      </c>
      <c r="AO35" s="116">
        <v>0</v>
      </c>
      <c r="AP35" s="13">
        <f t="shared" si="13"/>
        <v>-51317.29</v>
      </c>
      <c r="AQ35" s="42">
        <f t="shared" si="17"/>
        <v>0</v>
      </c>
      <c r="AR35" s="12">
        <f t="shared" si="53"/>
        <v>-23095.54</v>
      </c>
      <c r="AS35" s="12">
        <f t="shared" si="54"/>
        <v>0</v>
      </c>
      <c r="AT35" s="31">
        <f>AF35</f>
        <v>0</v>
      </c>
    </row>
    <row r="36" spans="1:47" s="10" customFormat="1" ht="40.5" hidden="1" customHeight="1" x14ac:dyDescent="0.3">
      <c r="A36" s="9"/>
      <c r="B36" s="132" t="s">
        <v>14</v>
      </c>
      <c r="C36" s="132"/>
      <c r="D36" s="132"/>
      <c r="E36" s="132"/>
      <c r="F36" s="132"/>
      <c r="G36" s="132"/>
      <c r="H36" s="132"/>
      <c r="I36" s="132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448502.99</v>
      </c>
      <c r="W36" s="12"/>
      <c r="X36" s="12"/>
      <c r="Y36" s="12">
        <f>V36</f>
        <v>448502.99</v>
      </c>
      <c r="Z36" s="12">
        <v>763440</v>
      </c>
      <c r="AA36" s="12">
        <v>447000</v>
      </c>
      <c r="AB36" s="125">
        <v>447000</v>
      </c>
      <c r="AC36" s="12">
        <v>0</v>
      </c>
      <c r="AD36" s="12">
        <v>0</v>
      </c>
      <c r="AE36" s="12">
        <v>1028387.8399999999</v>
      </c>
      <c r="AF36" s="12">
        <f t="shared" si="21"/>
        <v>1028387.8399999999</v>
      </c>
      <c r="AG36" s="12">
        <f t="shared" si="9"/>
        <v>0</v>
      </c>
      <c r="AH36" s="44">
        <f t="shared" si="4"/>
        <v>264947.83999999985</v>
      </c>
      <c r="AI36" s="44">
        <v>0</v>
      </c>
      <c r="AJ36" s="12">
        <f t="shared" si="10"/>
        <v>581387.83999999985</v>
      </c>
      <c r="AK36" s="44">
        <f t="shared" si="16"/>
        <v>230.06439373601788</v>
      </c>
      <c r="AL36" s="12" t="e">
        <f>AF36-#REF!</f>
        <v>#REF!</v>
      </c>
      <c r="AM36" s="12" t="e">
        <f>IF(#REF!=0,0,AF36/#REF!*100)</f>
        <v>#REF!</v>
      </c>
      <c r="AN36" s="44">
        <f t="shared" si="11"/>
        <v>581387.83999999985</v>
      </c>
      <c r="AO36" s="44">
        <f t="shared" si="12"/>
        <v>230.06439373601788</v>
      </c>
      <c r="AP36" s="12">
        <f t="shared" si="13"/>
        <v>579884.84999999986</v>
      </c>
      <c r="AQ36" s="44">
        <f t="shared" si="17"/>
        <v>229.29341898032831</v>
      </c>
      <c r="AR36" s="12">
        <f t="shared" si="53"/>
        <v>1086162.2</v>
      </c>
      <c r="AS36" s="12">
        <f t="shared" si="54"/>
        <v>-1780.0073250486894</v>
      </c>
      <c r="AT36" s="34">
        <v>745000</v>
      </c>
    </row>
    <row r="37" spans="1:47" s="10" customFormat="1" ht="57.75" hidden="1" customHeight="1" x14ac:dyDescent="0.3">
      <c r="A37" s="9"/>
      <c r="B37" s="132" t="s">
        <v>13</v>
      </c>
      <c r="C37" s="132"/>
      <c r="D37" s="132"/>
      <c r="E37" s="132"/>
      <c r="F37" s="132"/>
      <c r="G37" s="132"/>
      <c r="H37" s="132"/>
      <c r="I37" s="132"/>
      <c r="J37" s="12">
        <f t="shared" ref="J37:N37" si="64">J38+J44</f>
        <v>26875602.490000002</v>
      </c>
      <c r="K37" s="12">
        <f t="shared" si="64"/>
        <v>26875602.490000002</v>
      </c>
      <c r="L37" s="12">
        <f t="shared" si="64"/>
        <v>10496131.460000001</v>
      </c>
      <c r="M37" s="12">
        <f t="shared" si="64"/>
        <v>10496131.460000001</v>
      </c>
      <c r="N37" s="12">
        <f t="shared" si="64"/>
        <v>29133952.98</v>
      </c>
      <c r="O37" s="12">
        <f>O38+O44</f>
        <v>30359839.810000002</v>
      </c>
      <c r="P37" s="12">
        <f t="shared" ref="P37" si="65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6">U38+U44</f>
        <v>34239492.269999996</v>
      </c>
      <c r="V37" s="12">
        <f t="shared" si="66"/>
        <v>20614028.789999999</v>
      </c>
      <c r="W37" s="12"/>
      <c r="X37" s="12">
        <f t="shared" si="66"/>
        <v>0</v>
      </c>
      <c r="Y37" s="12">
        <f t="shared" si="66"/>
        <v>20614028.789999999</v>
      </c>
      <c r="Z37" s="12">
        <f>Z38+Z44</f>
        <v>25090600</v>
      </c>
      <c r="AA37" s="12">
        <f>AA38+AA44</f>
        <v>29480458</v>
      </c>
      <c r="AB37" s="125">
        <f>AB38+AB44</f>
        <v>19453492.32</v>
      </c>
      <c r="AC37" s="12">
        <f t="shared" ref="AC37" si="67">AC38+AC44</f>
        <v>111656.1</v>
      </c>
      <c r="AD37" s="12">
        <f t="shared" ref="AD37" si="68">AD38+AD44</f>
        <v>35767.32</v>
      </c>
      <c r="AE37" s="12">
        <v>21484718.069999997</v>
      </c>
      <c r="AF37" s="12">
        <f>AF38+AF44</f>
        <v>21520485.389999997</v>
      </c>
      <c r="AG37" s="12">
        <f t="shared" si="9"/>
        <v>-75888.78</v>
      </c>
      <c r="AH37" s="44">
        <f t="shared" si="4"/>
        <v>-3570114.6100000031</v>
      </c>
      <c r="AI37" s="44">
        <v>0</v>
      </c>
      <c r="AJ37" s="12">
        <f t="shared" si="10"/>
        <v>-7959972.6100000031</v>
      </c>
      <c r="AK37" s="44">
        <f t="shared" si="16"/>
        <v>72.99915554229176</v>
      </c>
      <c r="AL37" s="12" t="e">
        <f>AF37-#REF!</f>
        <v>#REF!</v>
      </c>
      <c r="AM37" s="12" t="e">
        <f>IF(#REF!=0,0,AF37/#REF!*100)</f>
        <v>#REF!</v>
      </c>
      <c r="AN37" s="44">
        <f t="shared" si="11"/>
        <v>2066993.0699999966</v>
      </c>
      <c r="AO37" s="44">
        <f t="shared" si="12"/>
        <v>110.62530591422362</v>
      </c>
      <c r="AP37" s="12">
        <f t="shared" si="13"/>
        <v>906456.59999999776</v>
      </c>
      <c r="AQ37" s="44">
        <f t="shared" si="17"/>
        <v>104.39728016892906</v>
      </c>
      <c r="AR37" s="12">
        <f t="shared" si="53"/>
        <v>11024353.929999996</v>
      </c>
      <c r="AS37" s="12">
        <f t="shared" si="54"/>
        <v>205.03254434277062</v>
      </c>
      <c r="AT37" s="34">
        <f t="shared" ref="AT37" si="69">AT38+AT44</f>
        <v>21520485.389999997</v>
      </c>
    </row>
    <row r="38" spans="1:47" s="5" customFormat="1" ht="39" hidden="1" customHeight="1" x14ac:dyDescent="0.3">
      <c r="A38" s="4"/>
      <c r="B38" s="134" t="s">
        <v>59</v>
      </c>
      <c r="C38" s="134"/>
      <c r="D38" s="134"/>
      <c r="E38" s="134"/>
      <c r="F38" s="134"/>
      <c r="G38" s="134"/>
      <c r="H38" s="134"/>
      <c r="I38" s="134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0">S39+S40+S43+S41+S42</f>
        <v>34618925.310000002</v>
      </c>
      <c r="T38" s="13">
        <f t="shared" si="70"/>
        <v>35367638.399999999</v>
      </c>
      <c r="U38" s="13">
        <f>U39+U40+U43</f>
        <v>33924709.399999999</v>
      </c>
      <c r="V38" s="13">
        <f t="shared" ref="V38:AD38" si="71">V39+V40+V43+V41+V42</f>
        <v>20416170.57</v>
      </c>
      <c r="W38" s="13"/>
      <c r="X38" s="13">
        <f t="shared" si="71"/>
        <v>0</v>
      </c>
      <c r="Y38" s="13">
        <f t="shared" si="71"/>
        <v>20416170.57</v>
      </c>
      <c r="Z38" s="13">
        <f t="shared" si="71"/>
        <v>25090600</v>
      </c>
      <c r="AA38" s="13">
        <f t="shared" si="71"/>
        <v>29480458</v>
      </c>
      <c r="AB38" s="18">
        <f t="shared" si="71"/>
        <v>19453492.32</v>
      </c>
      <c r="AC38" s="13">
        <f t="shared" ref="AC38" si="72">AC39+AC40+AC43+AC41+AC42</f>
        <v>111656.1</v>
      </c>
      <c r="AD38" s="13">
        <f t="shared" si="71"/>
        <v>35767.32</v>
      </c>
      <c r="AE38" s="13">
        <v>21458670.569999997</v>
      </c>
      <c r="AF38" s="13">
        <f>AF39+AF40+AF43+AF41+AF42</f>
        <v>21494437.889999997</v>
      </c>
      <c r="AG38" s="13">
        <f t="shared" si="9"/>
        <v>-75888.78</v>
      </c>
      <c r="AH38" s="44">
        <f t="shared" si="4"/>
        <v>-3596162.1100000031</v>
      </c>
      <c r="AI38" s="44">
        <v>0</v>
      </c>
      <c r="AJ38" s="12">
        <f t="shared" si="10"/>
        <v>-7986020.1100000031</v>
      </c>
      <c r="AK38" s="42">
        <f t="shared" si="16"/>
        <v>72.910800402083296</v>
      </c>
      <c r="AL38" s="13" t="e">
        <f>AF38-#REF!</f>
        <v>#REF!</v>
      </c>
      <c r="AM38" s="13" t="e">
        <f>IF(#REF!=0,0,AF38/#REF!*100)</f>
        <v>#REF!</v>
      </c>
      <c r="AN38" s="42">
        <f t="shared" si="11"/>
        <v>2040945.5699999966</v>
      </c>
      <c r="AO38" s="42">
        <f t="shared" si="12"/>
        <v>110.49140964731414</v>
      </c>
      <c r="AP38" s="13">
        <f t="shared" si="13"/>
        <v>1078267.3199999966</v>
      </c>
      <c r="AQ38" s="42">
        <f t="shared" si="17"/>
        <v>105.28143765405461</v>
      </c>
      <c r="AR38" s="12">
        <f t="shared" si="53"/>
        <v>11622753.909999996</v>
      </c>
      <c r="AS38" s="12">
        <f t="shared" si="54"/>
        <v>217.73831023711514</v>
      </c>
      <c r="AT38" s="31">
        <f>AF38</f>
        <v>21494437.889999997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431507.51</v>
      </c>
      <c r="W39" s="31"/>
      <c r="X39" s="31"/>
      <c r="Y39" s="31">
        <f>V39</f>
        <v>431507.51</v>
      </c>
      <c r="Z39" s="31">
        <v>360000</v>
      </c>
      <c r="AA39" s="31">
        <v>380458</v>
      </c>
      <c r="AB39" s="128">
        <v>276000</v>
      </c>
      <c r="AC39" s="31">
        <f>105+6180</f>
        <v>6285</v>
      </c>
      <c r="AD39" s="31">
        <f>3935+120+745</f>
        <v>4800</v>
      </c>
      <c r="AE39" s="31">
        <v>369748.22</v>
      </c>
      <c r="AF39" s="31">
        <f t="shared" si="21"/>
        <v>374548.22</v>
      </c>
      <c r="AG39" s="31">
        <f t="shared" si="9"/>
        <v>-1485</v>
      </c>
      <c r="AH39" s="103">
        <f t="shared" si="4"/>
        <v>14548.219999999972</v>
      </c>
      <c r="AI39" s="103">
        <f>AF39/Z39*100</f>
        <v>104.04117222222223</v>
      </c>
      <c r="AJ39" s="31">
        <f t="shared" si="10"/>
        <v>-5909.7800000000279</v>
      </c>
      <c r="AK39" s="103">
        <f t="shared" si="16"/>
        <v>98.44666691198502</v>
      </c>
      <c r="AL39" s="31"/>
      <c r="AM39" s="31"/>
      <c r="AN39" s="103">
        <f t="shared" si="11"/>
        <v>98548.219999999972</v>
      </c>
      <c r="AO39" s="103">
        <f t="shared" si="12"/>
        <v>135.70587681159418</v>
      </c>
      <c r="AP39" s="31">
        <f t="shared" si="13"/>
        <v>-56959.290000000037</v>
      </c>
      <c r="AQ39" s="117">
        <f t="shared" si="17"/>
        <v>86.799930782201216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3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4">T40</f>
        <v>33218079.799999997</v>
      </c>
      <c r="V40" s="31">
        <v>19284019.059999999</v>
      </c>
      <c r="W40" s="31"/>
      <c r="X40" s="31"/>
      <c r="Y40" s="31">
        <f>V40</f>
        <v>19284019.059999999</v>
      </c>
      <c r="Z40" s="31">
        <v>22830600</v>
      </c>
      <c r="AA40" s="31">
        <v>27500000</v>
      </c>
      <c r="AB40" s="128">
        <v>18011520</v>
      </c>
      <c r="AC40" s="31">
        <f>96963.94+7957.16</f>
        <v>104921.1</v>
      </c>
      <c r="AD40" s="31">
        <f>26766.39+3300.93</f>
        <v>30067.32</v>
      </c>
      <c r="AE40" s="31">
        <v>19846208.349999998</v>
      </c>
      <c r="AF40" s="31">
        <f t="shared" si="21"/>
        <v>19876275.669999998</v>
      </c>
      <c r="AG40" s="31">
        <f t="shared" si="9"/>
        <v>-74853.78</v>
      </c>
      <c r="AH40" s="103">
        <f t="shared" si="4"/>
        <v>-2954324.3300000019</v>
      </c>
      <c r="AI40" s="103">
        <f>AF40/Z40*100</f>
        <v>87.059804253939873</v>
      </c>
      <c r="AJ40" s="31">
        <f t="shared" si="10"/>
        <v>-7623724.3300000019</v>
      </c>
      <c r="AK40" s="103">
        <f t="shared" si="16"/>
        <v>72.277366072727261</v>
      </c>
      <c r="AL40" s="31"/>
      <c r="AM40" s="31"/>
      <c r="AN40" s="103">
        <f t="shared" si="11"/>
        <v>1864755.6699999981</v>
      </c>
      <c r="AO40" s="103">
        <f t="shared" si="12"/>
        <v>110.35312772048111</v>
      </c>
      <c r="AP40" s="31">
        <f t="shared" si="13"/>
        <v>592256.6099999994</v>
      </c>
      <c r="AQ40" s="103">
        <f t="shared" si="17"/>
        <v>103.07123016295131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662846</v>
      </c>
      <c r="W41" s="31"/>
      <c r="X41" s="31"/>
      <c r="Y41" s="31">
        <f t="shared" ref="Y41:Y42" si="75">V41</f>
        <v>662846</v>
      </c>
      <c r="Z41" s="31">
        <v>1400000</v>
      </c>
      <c r="AA41" s="31">
        <v>1400000</v>
      </c>
      <c r="AB41" s="128">
        <v>1025972.32</v>
      </c>
      <c r="AC41" s="31">
        <v>0</v>
      </c>
      <c r="AD41" s="31">
        <f>600</f>
        <v>600</v>
      </c>
      <c r="AE41" s="31">
        <v>741498</v>
      </c>
      <c r="AF41" s="31">
        <f t="shared" si="21"/>
        <v>742098</v>
      </c>
      <c r="AG41" s="31">
        <f t="shared" si="9"/>
        <v>600</v>
      </c>
      <c r="AH41" s="103">
        <f t="shared" si="4"/>
        <v>-657902</v>
      </c>
      <c r="AI41" s="103">
        <f t="shared" ref="AI41:AI42" si="76">AF41/Z41*100</f>
        <v>53.007000000000005</v>
      </c>
      <c r="AJ41" s="31">
        <f t="shared" si="10"/>
        <v>-657902</v>
      </c>
      <c r="AK41" s="103">
        <f t="shared" si="16"/>
        <v>53.006999999999998</v>
      </c>
      <c r="AL41" s="31"/>
      <c r="AM41" s="31"/>
      <c r="AN41" s="103">
        <f t="shared" si="11"/>
        <v>-283874.31999999995</v>
      </c>
      <c r="AO41" s="103">
        <f t="shared" si="12"/>
        <v>72.331191157281907</v>
      </c>
      <c r="AP41" s="31">
        <f t="shared" si="13"/>
        <v>79252</v>
      </c>
      <c r="AQ41" s="103">
        <f t="shared" si="17"/>
        <v>111.95632167954547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5"/>
        <v>0</v>
      </c>
      <c r="Z42" s="31">
        <v>500000</v>
      </c>
      <c r="AA42" s="31">
        <v>200000</v>
      </c>
      <c r="AB42" s="128">
        <v>140000</v>
      </c>
      <c r="AC42" s="31">
        <v>0</v>
      </c>
      <c r="AD42" s="31">
        <v>0</v>
      </c>
      <c r="AE42" s="31">
        <v>247800</v>
      </c>
      <c r="AF42" s="31">
        <f t="shared" si="21"/>
        <v>247800</v>
      </c>
      <c r="AG42" s="31">
        <f t="shared" si="9"/>
        <v>0</v>
      </c>
      <c r="AH42" s="103">
        <f t="shared" si="4"/>
        <v>-252200</v>
      </c>
      <c r="AI42" s="103">
        <f t="shared" si="76"/>
        <v>49.559999999999995</v>
      </c>
      <c r="AJ42" s="31">
        <f t="shared" si="10"/>
        <v>47800</v>
      </c>
      <c r="AK42" s="103">
        <f t="shared" si="16"/>
        <v>123.9</v>
      </c>
      <c r="AL42" s="31"/>
      <c r="AM42" s="31"/>
      <c r="AN42" s="103">
        <f t="shared" si="11"/>
        <v>107800</v>
      </c>
      <c r="AO42" s="103">
        <f t="shared" si="12"/>
        <v>177</v>
      </c>
      <c r="AP42" s="31">
        <f t="shared" si="13"/>
        <v>247800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3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4"/>
        <v>68665.72</v>
      </c>
      <c r="V43" s="31">
        <v>37798</v>
      </c>
      <c r="W43" s="31"/>
      <c r="X43" s="31"/>
      <c r="Y43" s="31">
        <f>V43</f>
        <v>37798</v>
      </c>
      <c r="Z43" s="31">
        <v>0</v>
      </c>
      <c r="AA43" s="31">
        <v>0</v>
      </c>
      <c r="AB43" s="128">
        <v>0</v>
      </c>
      <c r="AC43" s="31">
        <f>300+150</f>
        <v>450</v>
      </c>
      <c r="AD43" s="31">
        <f>300</f>
        <v>300</v>
      </c>
      <c r="AE43" s="31">
        <v>253416</v>
      </c>
      <c r="AF43" s="31">
        <f t="shared" si="21"/>
        <v>253716</v>
      </c>
      <c r="AG43" s="31">
        <f t="shared" si="9"/>
        <v>-150</v>
      </c>
      <c r="AH43" s="103">
        <f t="shared" si="4"/>
        <v>253716</v>
      </c>
      <c r="AI43" s="103">
        <v>0</v>
      </c>
      <c r="AJ43" s="31">
        <f t="shared" si="10"/>
        <v>253716</v>
      </c>
      <c r="AK43" s="116">
        <v>0</v>
      </c>
      <c r="AL43" s="31"/>
      <c r="AM43" s="31"/>
      <c r="AN43" s="103">
        <f t="shared" si="11"/>
        <v>253716</v>
      </c>
      <c r="AO43" s="116">
        <v>0</v>
      </c>
      <c r="AP43" s="31">
        <f t="shared" si="13"/>
        <v>215918</v>
      </c>
      <c r="AQ43" s="103">
        <f t="shared" si="17"/>
        <v>671.24186464892318</v>
      </c>
      <c r="AR43" s="12"/>
      <c r="AS43" s="12"/>
      <c r="AT43" s="31"/>
    </row>
    <row r="44" spans="1:47" s="5" customFormat="1" ht="28.5" hidden="1" customHeight="1" x14ac:dyDescent="0.3">
      <c r="A44" s="4"/>
      <c r="B44" s="134" t="s">
        <v>12</v>
      </c>
      <c r="C44" s="134"/>
      <c r="D44" s="134"/>
      <c r="E44" s="134"/>
      <c r="F44" s="134"/>
      <c r="G44" s="134"/>
      <c r="H44" s="134"/>
      <c r="I44" s="134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197858.22</v>
      </c>
      <c r="W44" s="13"/>
      <c r="X44" s="13"/>
      <c r="Y44" s="13">
        <f>V44</f>
        <v>197858.22</v>
      </c>
      <c r="Z44" s="13"/>
      <c r="AA44" s="13">
        <v>0</v>
      </c>
      <c r="AB44" s="18">
        <v>0</v>
      </c>
      <c r="AC44" s="13">
        <v>0</v>
      </c>
      <c r="AD44" s="13">
        <v>0</v>
      </c>
      <c r="AE44" s="13">
        <v>26047.5</v>
      </c>
      <c r="AF44" s="13">
        <f t="shared" si="21"/>
        <v>26047.5</v>
      </c>
      <c r="AG44" s="13">
        <f t="shared" si="9"/>
        <v>0</v>
      </c>
      <c r="AH44" s="44">
        <f t="shared" si="4"/>
        <v>26047.5</v>
      </c>
      <c r="AI44" s="44">
        <v>0</v>
      </c>
      <c r="AJ44" s="13">
        <f t="shared" si="10"/>
        <v>26047.5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1"/>
        <v>26047.5</v>
      </c>
      <c r="AO44" s="116">
        <v>0</v>
      </c>
      <c r="AP44" s="13">
        <f t="shared" si="13"/>
        <v>-171810.72</v>
      </c>
      <c r="AQ44" s="114">
        <f t="shared" si="17"/>
        <v>13.164729774684114</v>
      </c>
      <c r="AR44" s="12">
        <f t="shared" ref="AR44:AR59" si="77">AF44-M44</f>
        <v>-598399.98</v>
      </c>
      <c r="AS44" s="12">
        <f t="shared" ref="AS44:AS59" si="78">IF(M44=0,0,AF44/M44*100)</f>
        <v>4.1712875516768841</v>
      </c>
      <c r="AT44" s="31">
        <f>AF44</f>
        <v>26047.5</v>
      </c>
    </row>
    <row r="45" spans="1:47" s="10" customFormat="1" ht="60" hidden="1" customHeight="1" x14ac:dyDescent="0.3">
      <c r="A45" s="9"/>
      <c r="B45" s="132" t="s">
        <v>11</v>
      </c>
      <c r="C45" s="132"/>
      <c r="D45" s="132"/>
      <c r="E45" s="132"/>
      <c r="F45" s="132"/>
      <c r="G45" s="132"/>
      <c r="H45" s="132"/>
      <c r="I45" s="132"/>
      <c r="J45" s="12">
        <f t="shared" ref="J45:AF45" si="79">J46+J47</f>
        <v>4290634.29</v>
      </c>
      <c r="K45" s="12">
        <f t="shared" si="79"/>
        <v>4290634.29</v>
      </c>
      <c r="L45" s="12">
        <f t="shared" si="79"/>
        <v>3198289.13</v>
      </c>
      <c r="M45" s="12">
        <f t="shared" si="79"/>
        <v>3198289.13</v>
      </c>
      <c r="N45" s="12">
        <f t="shared" si="79"/>
        <v>3516712.9</v>
      </c>
      <c r="O45" s="12">
        <f t="shared" si="79"/>
        <v>4112775.06</v>
      </c>
      <c r="P45" s="12">
        <f t="shared" si="79"/>
        <v>4112775.06</v>
      </c>
      <c r="Q45" s="12">
        <v>4112775.06</v>
      </c>
      <c r="R45" s="12">
        <f t="shared" si="79"/>
        <v>4112775.06</v>
      </c>
      <c r="S45" s="12">
        <f t="shared" si="79"/>
        <v>1171237.6000000001</v>
      </c>
      <c r="T45" s="12">
        <f t="shared" si="79"/>
        <v>2218931.5799999996</v>
      </c>
      <c r="U45" s="12">
        <f t="shared" si="79"/>
        <v>2218931.5799999996</v>
      </c>
      <c r="V45" s="12">
        <f t="shared" si="79"/>
        <v>801081.22000000009</v>
      </c>
      <c r="W45" s="12"/>
      <c r="X45" s="12">
        <f t="shared" si="79"/>
        <v>0</v>
      </c>
      <c r="Y45" s="12">
        <f t="shared" si="79"/>
        <v>801081.22000000009</v>
      </c>
      <c r="Z45" s="12">
        <f t="shared" si="79"/>
        <v>132000</v>
      </c>
      <c r="AA45" s="12">
        <f t="shared" si="79"/>
        <v>132000</v>
      </c>
      <c r="AB45" s="125">
        <f t="shared" si="79"/>
        <v>132000</v>
      </c>
      <c r="AC45" s="12">
        <f t="shared" ref="AC45" si="80">AC46+AC47</f>
        <v>61798.67</v>
      </c>
      <c r="AD45" s="12">
        <f t="shared" si="79"/>
        <v>214000</v>
      </c>
      <c r="AE45" s="12">
        <v>2674177.14</v>
      </c>
      <c r="AF45" s="12">
        <f t="shared" si="79"/>
        <v>2888177.14</v>
      </c>
      <c r="AG45" s="12">
        <f t="shared" si="9"/>
        <v>152201.33000000002</v>
      </c>
      <c r="AH45" s="44">
        <f t="shared" si="4"/>
        <v>2756177.14</v>
      </c>
      <c r="AI45" s="44">
        <f t="shared" ref="AI45:AI58" si="81">AF45/Z45*100</f>
        <v>2188.0129848484848</v>
      </c>
      <c r="AJ45" s="12">
        <f t="shared" si="10"/>
        <v>2756177.14</v>
      </c>
      <c r="AK45" s="44">
        <f t="shared" si="16"/>
        <v>2188.0129848484848</v>
      </c>
      <c r="AL45" s="12" t="e">
        <f>AF45-#REF!</f>
        <v>#REF!</v>
      </c>
      <c r="AM45" s="12" t="e">
        <f>IF(#REF!=0,0,AF45/#REF!*100)</f>
        <v>#REF!</v>
      </c>
      <c r="AN45" s="44">
        <f t="shared" si="11"/>
        <v>2756177.14</v>
      </c>
      <c r="AO45" s="119">
        <f t="shared" si="12"/>
        <v>2188.0129848484848</v>
      </c>
      <c r="AP45" s="12">
        <f t="shared" si="13"/>
        <v>2087095.92</v>
      </c>
      <c r="AQ45" s="44">
        <f t="shared" si="17"/>
        <v>360.53487060900011</v>
      </c>
      <c r="AR45" s="12">
        <f t="shared" si="77"/>
        <v>-310111.98999999976</v>
      </c>
      <c r="AS45" s="12">
        <f t="shared" si="78"/>
        <v>90.303816278173713</v>
      </c>
      <c r="AT45" s="34">
        <f t="shared" ref="AT45" si="82">AT46+AT47</f>
        <v>2888177.14</v>
      </c>
    </row>
    <row r="46" spans="1:47" s="5" customFormat="1" ht="63" hidden="1" customHeight="1" x14ac:dyDescent="0.3">
      <c r="A46" s="4"/>
      <c r="B46" s="134" t="s">
        <v>37</v>
      </c>
      <c r="C46" s="134"/>
      <c r="D46" s="134"/>
      <c r="E46" s="134"/>
      <c r="F46" s="134"/>
      <c r="G46" s="134"/>
      <c r="H46" s="134"/>
      <c r="I46" s="134"/>
      <c r="J46" s="13">
        <v>163530</v>
      </c>
      <c r="K46" s="13">
        <f t="shared" ref="K46:K49" si="83">J46</f>
        <v>163530</v>
      </c>
      <c r="L46" s="13">
        <v>0</v>
      </c>
      <c r="M46" s="13">
        <f t="shared" ref="M46:M49" si="84">L46</f>
        <v>0</v>
      </c>
      <c r="N46" s="13">
        <v>762433</v>
      </c>
      <c r="O46" s="13">
        <v>763713</v>
      </c>
      <c r="P46" s="13">
        <f t="shared" ref="P46:P49" si="85">O46</f>
        <v>763713</v>
      </c>
      <c r="Q46" s="13">
        <v>763713</v>
      </c>
      <c r="R46" s="13">
        <f t="shared" ref="R46:R48" si="86">Q46</f>
        <v>763713</v>
      </c>
      <c r="S46" s="13">
        <v>5228.8</v>
      </c>
      <c r="T46" s="13">
        <v>5228.8</v>
      </c>
      <c r="U46" s="13">
        <f t="shared" ref="U46:U49" si="87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1"/>
        <v>0</v>
      </c>
      <c r="AG46" s="13">
        <f t="shared" si="9"/>
        <v>0</v>
      </c>
      <c r="AH46" s="44">
        <f t="shared" si="4"/>
        <v>-132000</v>
      </c>
      <c r="AI46" s="44">
        <f t="shared" si="81"/>
        <v>0</v>
      </c>
      <c r="AJ46" s="13">
        <f t="shared" si="10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1"/>
        <v>0</v>
      </c>
      <c r="AO46" s="116">
        <v>0</v>
      </c>
      <c r="AP46" s="13">
        <f t="shared" si="13"/>
        <v>-5228.8</v>
      </c>
      <c r="AQ46" s="42">
        <f t="shared" si="17"/>
        <v>0</v>
      </c>
      <c r="AR46" s="12">
        <f t="shared" si="77"/>
        <v>0</v>
      </c>
      <c r="AS46" s="12">
        <f t="shared" si="78"/>
        <v>0</v>
      </c>
      <c r="AT46" s="31">
        <f>AF46</f>
        <v>0</v>
      </c>
    </row>
    <row r="47" spans="1:47" s="5" customFormat="1" ht="65.25" hidden="1" customHeight="1" x14ac:dyDescent="0.3">
      <c r="A47" s="4"/>
      <c r="B47" s="134" t="s">
        <v>10</v>
      </c>
      <c r="C47" s="134"/>
      <c r="D47" s="134"/>
      <c r="E47" s="134"/>
      <c r="F47" s="134"/>
      <c r="G47" s="134"/>
      <c r="H47" s="134"/>
      <c r="I47" s="134"/>
      <c r="J47" s="13">
        <v>4127104.29</v>
      </c>
      <c r="K47" s="13">
        <f t="shared" si="83"/>
        <v>4127104.29</v>
      </c>
      <c r="L47" s="13">
        <v>3198289.13</v>
      </c>
      <c r="M47" s="13">
        <f t="shared" si="84"/>
        <v>3198289.13</v>
      </c>
      <c r="N47" s="13">
        <v>2754279.9</v>
      </c>
      <c r="O47" s="13">
        <v>3349062.06</v>
      </c>
      <c r="P47" s="13">
        <f t="shared" si="85"/>
        <v>3349062.06</v>
      </c>
      <c r="Q47" s="13">
        <v>3349062.06</v>
      </c>
      <c r="R47" s="13">
        <f t="shared" si="86"/>
        <v>3349062.06</v>
      </c>
      <c r="S47" s="13">
        <v>1166008.8</v>
      </c>
      <c r="T47" s="13">
        <v>2213702.7799999998</v>
      </c>
      <c r="U47" s="13">
        <f t="shared" si="87"/>
        <v>2213702.7799999998</v>
      </c>
      <c r="V47" s="13">
        <v>795852.42</v>
      </c>
      <c r="W47" s="13"/>
      <c r="X47" s="13"/>
      <c r="Y47" s="13">
        <f>V47</f>
        <v>795852.42</v>
      </c>
      <c r="Z47" s="13">
        <v>0</v>
      </c>
      <c r="AA47" s="13">
        <v>132000</v>
      </c>
      <c r="AB47" s="18">
        <v>132000</v>
      </c>
      <c r="AC47" s="13">
        <v>61798.67</v>
      </c>
      <c r="AD47" s="13">
        <v>214000</v>
      </c>
      <c r="AE47" s="13">
        <v>2674177.14</v>
      </c>
      <c r="AF47" s="13">
        <f t="shared" si="21"/>
        <v>2888177.14</v>
      </c>
      <c r="AG47" s="13">
        <f t="shared" si="9"/>
        <v>152201.33000000002</v>
      </c>
      <c r="AH47" s="44">
        <f t="shared" si="4"/>
        <v>2888177.14</v>
      </c>
      <c r="AI47" s="44">
        <v>0</v>
      </c>
      <c r="AJ47" s="13">
        <f t="shared" si="10"/>
        <v>2756177.14</v>
      </c>
      <c r="AK47" s="42">
        <f>AF47/AA47%</f>
        <v>2188.0129848484848</v>
      </c>
      <c r="AL47" s="13" t="e">
        <f>AF47-#REF!</f>
        <v>#REF!</v>
      </c>
      <c r="AM47" s="13" t="e">
        <f>IF(#REF!=0,0,AF47/#REF!*100)</f>
        <v>#REF!</v>
      </c>
      <c r="AN47" s="42">
        <f t="shared" si="11"/>
        <v>2756177.14</v>
      </c>
      <c r="AO47" s="42">
        <f t="shared" si="12"/>
        <v>2188.0129848484848</v>
      </c>
      <c r="AP47" s="13">
        <f t="shared" si="13"/>
        <v>2092324.7200000002</v>
      </c>
      <c r="AQ47" s="42">
        <f t="shared" si="17"/>
        <v>362.90360717882845</v>
      </c>
      <c r="AR47" s="12">
        <f t="shared" si="77"/>
        <v>-310111.98999999976</v>
      </c>
      <c r="AS47" s="12">
        <f t="shared" si="78"/>
        <v>90.303816278173713</v>
      </c>
      <c r="AT47" s="31">
        <f>AF47</f>
        <v>2888177.14</v>
      </c>
      <c r="AU47" s="86"/>
    </row>
    <row r="48" spans="1:47" s="10" customFormat="1" ht="39.75" hidden="1" customHeight="1" x14ac:dyDescent="0.3">
      <c r="A48" s="9"/>
      <c r="B48" s="132" t="s">
        <v>9</v>
      </c>
      <c r="C48" s="132"/>
      <c r="D48" s="132"/>
      <c r="E48" s="132"/>
      <c r="F48" s="132"/>
      <c r="G48" s="132"/>
      <c r="H48" s="132"/>
      <c r="I48" s="132"/>
      <c r="J48" s="12">
        <v>2338187.02</v>
      </c>
      <c r="K48" s="12">
        <f t="shared" si="83"/>
        <v>2338187.02</v>
      </c>
      <c r="L48" s="12">
        <v>974257.27</v>
      </c>
      <c r="M48" s="12">
        <f t="shared" si="84"/>
        <v>974257.27</v>
      </c>
      <c r="N48" s="12">
        <v>2799320.03</v>
      </c>
      <c r="O48" s="12">
        <v>3055345.14</v>
      </c>
      <c r="P48" s="12">
        <f t="shared" si="85"/>
        <v>3055345.14</v>
      </c>
      <c r="Q48" s="12">
        <v>3055345.14</v>
      </c>
      <c r="R48" s="12">
        <f t="shared" si="86"/>
        <v>3055345.14</v>
      </c>
      <c r="S48" s="12">
        <v>2239812</v>
      </c>
      <c r="T48" s="12">
        <v>2273274.8299999996</v>
      </c>
      <c r="U48" s="12">
        <f t="shared" si="87"/>
        <v>2273274.8299999996</v>
      </c>
      <c r="V48" s="12">
        <v>1082792.98</v>
      </c>
      <c r="W48" s="12"/>
      <c r="X48" s="12"/>
      <c r="Y48" s="12">
        <f>V48</f>
        <v>1082792.98</v>
      </c>
      <c r="Z48" s="12">
        <v>1249470</v>
      </c>
      <c r="AA48" s="12">
        <v>1147080</v>
      </c>
      <c r="AB48" s="125">
        <v>784963.27</v>
      </c>
      <c r="AC48" s="12">
        <f>381729.67+10000</f>
        <v>391729.67</v>
      </c>
      <c r="AD48" s="12">
        <f>13600+14982.4+500+1000</f>
        <v>30082.400000000001</v>
      </c>
      <c r="AE48" s="12">
        <v>2163696.1800000002</v>
      </c>
      <c r="AF48" s="12">
        <f t="shared" si="21"/>
        <v>2193778.58</v>
      </c>
      <c r="AG48" s="12">
        <f t="shared" si="9"/>
        <v>-361647.26999999996</v>
      </c>
      <c r="AH48" s="44">
        <f t="shared" si="4"/>
        <v>944308.58000000007</v>
      </c>
      <c r="AI48" s="44">
        <f t="shared" si="81"/>
        <v>175.576730933916</v>
      </c>
      <c r="AJ48" s="12">
        <f t="shared" si="10"/>
        <v>1046698.5800000001</v>
      </c>
      <c r="AK48" s="44">
        <f t="shared" si="16"/>
        <v>191.24896083969733</v>
      </c>
      <c r="AL48" s="12" t="e">
        <f>AF48-#REF!</f>
        <v>#REF!</v>
      </c>
      <c r="AM48" s="12" t="e">
        <f>IF(#REF!=0,0,AF48/#REF!*100)</f>
        <v>#REF!</v>
      </c>
      <c r="AN48" s="44">
        <f t="shared" si="11"/>
        <v>1408815.31</v>
      </c>
      <c r="AO48" s="44">
        <f t="shared" si="12"/>
        <v>279.47531608708266</v>
      </c>
      <c r="AP48" s="12">
        <f t="shared" si="13"/>
        <v>1110985.6000000001</v>
      </c>
      <c r="AQ48" s="44">
        <f t="shared" si="17"/>
        <v>202.6036943830205</v>
      </c>
      <c r="AR48" s="12">
        <f t="shared" si="77"/>
        <v>1219521.31</v>
      </c>
      <c r="AS48" s="12">
        <f t="shared" si="78"/>
        <v>225.17446341457631</v>
      </c>
      <c r="AT48" s="34">
        <f>AF48</f>
        <v>2193778.58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3"/>
        <v>256536.06</v>
      </c>
      <c r="L49" s="16">
        <v>109317.03</v>
      </c>
      <c r="M49" s="16">
        <f t="shared" si="84"/>
        <v>109317.03</v>
      </c>
      <c r="N49" s="16">
        <v>210726.7</v>
      </c>
      <c r="O49" s="25">
        <f>221100.64+0.02+606.42</f>
        <v>221707.08000000002</v>
      </c>
      <c r="P49" s="16">
        <f t="shared" si="85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7"/>
        <v>278352.34000000003</v>
      </c>
      <c r="V49" s="25">
        <f>173732.51+1000</f>
        <v>174732.51</v>
      </c>
      <c r="W49" s="25"/>
      <c r="X49" s="25"/>
      <c r="Y49" s="16">
        <f>V49</f>
        <v>174732.51</v>
      </c>
      <c r="Z49" s="25">
        <v>336190</v>
      </c>
      <c r="AA49" s="25">
        <v>171137</v>
      </c>
      <c r="AB49" s="18">
        <v>149837</v>
      </c>
      <c r="AC49" s="25">
        <v>0</v>
      </c>
      <c r="AD49" s="25">
        <f>500+3073.02+1000</f>
        <v>4573.0200000000004</v>
      </c>
      <c r="AE49" s="25">
        <v>133239.76</v>
      </c>
      <c r="AF49" s="25">
        <f>AE49+AD49</f>
        <v>137812.78</v>
      </c>
      <c r="AG49" s="16">
        <f t="shared" si="9"/>
        <v>4573.0200000000004</v>
      </c>
      <c r="AH49" s="44">
        <f t="shared" si="4"/>
        <v>-198377.22</v>
      </c>
      <c r="AI49" s="44">
        <f t="shared" si="81"/>
        <v>40.992528034742257</v>
      </c>
      <c r="AJ49" s="12">
        <f t="shared" si="10"/>
        <v>-33324.22</v>
      </c>
      <c r="AK49" s="42">
        <f t="shared" si="16"/>
        <v>80.52775261924657</v>
      </c>
      <c r="AL49" s="13" t="e">
        <f>AF49-#REF!</f>
        <v>#REF!</v>
      </c>
      <c r="AM49" s="13" t="e">
        <f>IF(#REF!=0,0,AF49/#REF!*100)</f>
        <v>#REF!</v>
      </c>
      <c r="AN49" s="42">
        <f t="shared" si="11"/>
        <v>-12024.220000000001</v>
      </c>
      <c r="AO49" s="42">
        <f t="shared" si="12"/>
        <v>91.975132977835912</v>
      </c>
      <c r="AP49" s="13">
        <f t="shared" si="13"/>
        <v>-36919.73000000001</v>
      </c>
      <c r="AQ49" s="42">
        <f t="shared" si="17"/>
        <v>78.870715014624352</v>
      </c>
      <c r="AR49" s="12">
        <f t="shared" si="77"/>
        <v>28495.75</v>
      </c>
      <c r="AS49" s="12">
        <f t="shared" si="78"/>
        <v>126.06707298945096</v>
      </c>
      <c r="AT49" s="31">
        <f>AF49</f>
        <v>137812.78</v>
      </c>
      <c r="AV49" s="25"/>
    </row>
    <row r="50" spans="1:48" s="10" customFormat="1" ht="36.75" hidden="1" customHeight="1" x14ac:dyDescent="0.3">
      <c r="A50" s="9"/>
      <c r="B50" s="132" t="s">
        <v>7</v>
      </c>
      <c r="C50" s="132"/>
      <c r="D50" s="132"/>
      <c r="E50" s="132"/>
      <c r="F50" s="132"/>
      <c r="G50" s="132"/>
      <c r="H50" s="132"/>
      <c r="I50" s="132"/>
      <c r="J50" s="12">
        <f t="shared" ref="J50:P50" si="88">J51+J53</f>
        <v>1294662.3799999999</v>
      </c>
      <c r="K50" s="12">
        <f t="shared" si="88"/>
        <v>6201374.7299999995</v>
      </c>
      <c r="L50" s="12">
        <f t="shared" si="88"/>
        <v>389278.05</v>
      </c>
      <c r="M50" s="12">
        <f t="shared" si="88"/>
        <v>4495562.5999999996</v>
      </c>
      <c r="N50" s="12">
        <f t="shared" si="88"/>
        <v>2895802</v>
      </c>
      <c r="O50" s="12">
        <f t="shared" si="88"/>
        <v>4075696.4</v>
      </c>
      <c r="P50" s="12">
        <f t="shared" si="88"/>
        <v>4075696.4</v>
      </c>
      <c r="Q50" s="12">
        <v>4075696.4</v>
      </c>
      <c r="R50" s="12">
        <f t="shared" ref="R50" si="89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90">U51+U52+U53</f>
        <v>5495063.3199999994</v>
      </c>
      <c r="V50" s="12">
        <f t="shared" si="90"/>
        <v>5124545.72</v>
      </c>
      <c r="W50" s="12">
        <f t="shared" si="90"/>
        <v>0</v>
      </c>
      <c r="X50" s="12">
        <f t="shared" si="90"/>
        <v>0</v>
      </c>
      <c r="Y50" s="12">
        <f t="shared" si="90"/>
        <v>5124545.72</v>
      </c>
      <c r="Z50" s="12">
        <f t="shared" ref="Z50" si="91">Z51+Z53</f>
        <v>2715689.65</v>
      </c>
      <c r="AA50" s="12">
        <f t="shared" ref="AA50" si="92">AA51+AA52+AA53</f>
        <v>4906712.3499999996</v>
      </c>
      <c r="AB50" s="125">
        <f t="shared" si="90"/>
        <v>4795463.26</v>
      </c>
      <c r="AC50" s="12">
        <f t="shared" ref="AC50" si="93">AC51+AC52+AC53</f>
        <v>68812.709999999992</v>
      </c>
      <c r="AD50" s="12">
        <f t="shared" si="90"/>
        <v>-7385.75</v>
      </c>
      <c r="AE50" s="12">
        <v>4229146.3</v>
      </c>
      <c r="AF50" s="12">
        <f>AF51+AF52+AF53</f>
        <v>4221760.55</v>
      </c>
      <c r="AG50" s="12">
        <f t="shared" si="9"/>
        <v>-76198.459999999992</v>
      </c>
      <c r="AH50" s="44">
        <f t="shared" si="4"/>
        <v>1506070.9</v>
      </c>
      <c r="AI50" s="44">
        <f t="shared" si="81"/>
        <v>155.45813749373019</v>
      </c>
      <c r="AJ50" s="12">
        <f t="shared" si="10"/>
        <v>-684951.79999999981</v>
      </c>
      <c r="AK50" s="44">
        <f t="shared" si="16"/>
        <v>86.040514480128437</v>
      </c>
      <c r="AL50" s="12" t="e">
        <f>AF50-#REF!</f>
        <v>#REF!</v>
      </c>
      <c r="AM50" s="12" t="e">
        <f>IF(#REF!=0,0,AF50/#REF!*100)</f>
        <v>#REF!</v>
      </c>
      <c r="AN50" s="44">
        <f t="shared" si="11"/>
        <v>-573702.71</v>
      </c>
      <c r="AO50" s="44">
        <f t="shared" si="12"/>
        <v>88.036552906465175</v>
      </c>
      <c r="AP50" s="12">
        <f t="shared" si="13"/>
        <v>-902785.16999999993</v>
      </c>
      <c r="AQ50" s="44">
        <f t="shared" si="17"/>
        <v>82.383118049339998</v>
      </c>
      <c r="AR50" s="12">
        <f t="shared" si="77"/>
        <v>-273802.04999999981</v>
      </c>
      <c r="AS50" s="12">
        <f t="shared" si="78"/>
        <v>93.909504229793171</v>
      </c>
      <c r="AT50" s="34">
        <f t="shared" ref="AT50" si="94">AT51+AT53</f>
        <v>4355552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-40969.629999999997</v>
      </c>
      <c r="W51" s="13"/>
      <c r="X51" s="13"/>
      <c r="Y51" s="13">
        <f>V51</f>
        <v>-40969.629999999997</v>
      </c>
      <c r="Z51" s="13">
        <v>0</v>
      </c>
      <c r="AA51" s="13">
        <v>0</v>
      </c>
      <c r="AB51" s="18">
        <v>0</v>
      </c>
      <c r="AC51" s="113">
        <v>-1110.3499999999999</v>
      </c>
      <c r="AD51" s="113">
        <v>-8685.75</v>
      </c>
      <c r="AE51" s="13">
        <v>8685.75</v>
      </c>
      <c r="AF51" s="13">
        <f t="shared" si="21"/>
        <v>0</v>
      </c>
      <c r="AG51" s="16">
        <f t="shared" si="9"/>
        <v>-7575.4</v>
      </c>
      <c r="AH51" s="44">
        <f t="shared" si="4"/>
        <v>0</v>
      </c>
      <c r="AI51" s="44">
        <v>0</v>
      </c>
      <c r="AJ51" s="13">
        <f t="shared" si="10"/>
        <v>0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1"/>
        <v>0</v>
      </c>
      <c r="AO51" s="116">
        <v>0</v>
      </c>
      <c r="AP51" s="13">
        <f t="shared" si="13"/>
        <v>40969.629999999997</v>
      </c>
      <c r="AQ51" s="44">
        <f t="shared" si="17"/>
        <v>0</v>
      </c>
      <c r="AR51" s="12">
        <f t="shared" si="77"/>
        <v>-389278.05</v>
      </c>
      <c r="AS51" s="12">
        <f t="shared" si="78"/>
        <v>0</v>
      </c>
      <c r="AT51" s="31">
        <f>AF51</f>
        <v>0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5">T52</f>
        <v>155286.9</v>
      </c>
      <c r="V52" s="13">
        <v>127116.9</v>
      </c>
      <c r="W52" s="13"/>
      <c r="X52" s="13"/>
      <c r="Y52" s="13">
        <f t="shared" ref="Y52:Y53" si="96">V52</f>
        <v>127116.9</v>
      </c>
      <c r="Z52" s="13"/>
      <c r="AA52" s="13">
        <v>0</v>
      </c>
      <c r="AB52" s="18">
        <v>0</v>
      </c>
      <c r="AC52" s="113">
        <v>2000</v>
      </c>
      <c r="AD52" s="113">
        <v>150</v>
      </c>
      <c r="AE52" s="13">
        <v>115326</v>
      </c>
      <c r="AF52" s="13">
        <f t="shared" si="21"/>
        <v>115476</v>
      </c>
      <c r="AG52" s="16">
        <f t="shared" si="9"/>
        <v>-1850</v>
      </c>
      <c r="AH52" s="44"/>
      <c r="AI52" s="44"/>
      <c r="AJ52" s="13">
        <f t="shared" si="10"/>
        <v>115476</v>
      </c>
      <c r="AK52" s="116">
        <v>0</v>
      </c>
      <c r="AL52" s="13"/>
      <c r="AM52" s="13"/>
      <c r="AN52" s="42">
        <f t="shared" si="11"/>
        <v>115476</v>
      </c>
      <c r="AO52" s="116">
        <v>0</v>
      </c>
      <c r="AP52" s="13">
        <f t="shared" si="13"/>
        <v>-11640.899999999994</v>
      </c>
      <c r="AQ52" s="44">
        <f t="shared" si="17"/>
        <v>90.842366357266428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4106284.55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5"/>
        <v>5381046.0499999998</v>
      </c>
      <c r="V53" s="13">
        <v>5038398.45</v>
      </c>
      <c r="W53" s="13"/>
      <c r="X53" s="13"/>
      <c r="Y53" s="13">
        <f t="shared" si="96"/>
        <v>5038398.45</v>
      </c>
      <c r="Z53" s="13">
        <v>2715689.65</v>
      </c>
      <c r="AA53" s="13">
        <v>4906712.3499999996</v>
      </c>
      <c r="AB53" s="18">
        <v>4795463.26</v>
      </c>
      <c r="AC53" s="13">
        <f>55651.61+12271.45</f>
        <v>67923.06</v>
      </c>
      <c r="AD53" s="13">
        <v>1150</v>
      </c>
      <c r="AE53" s="13">
        <v>4105134.55</v>
      </c>
      <c r="AF53" s="13">
        <f t="shared" si="21"/>
        <v>4106284.55</v>
      </c>
      <c r="AG53" s="16">
        <f t="shared" si="9"/>
        <v>-66773.06</v>
      </c>
      <c r="AH53" s="44">
        <f t="shared" si="4"/>
        <v>1390594.9</v>
      </c>
      <c r="AI53" s="44">
        <f t="shared" si="81"/>
        <v>151.20595794147539</v>
      </c>
      <c r="AJ53" s="13">
        <f t="shared" si="10"/>
        <v>-800427.79999999981</v>
      </c>
      <c r="AK53" s="42">
        <f t="shared" si="16"/>
        <v>83.687085304684715</v>
      </c>
      <c r="AL53" s="13" t="e">
        <f>AF53-#REF!</f>
        <v>#REF!</v>
      </c>
      <c r="AM53" s="13" t="e">
        <f>IF(#REF!=0,0,AF53/#REF!*100)</f>
        <v>#REF!</v>
      </c>
      <c r="AN53" s="42">
        <f t="shared" si="11"/>
        <v>-689178.71</v>
      </c>
      <c r="AO53" s="42">
        <f t="shared" si="12"/>
        <v>85.628526950699651</v>
      </c>
      <c r="AP53" s="13">
        <f t="shared" si="13"/>
        <v>-932113.90000000037</v>
      </c>
      <c r="AQ53" s="42">
        <f t="shared" si="17"/>
        <v>81.499797817697413</v>
      </c>
      <c r="AR53" s="12">
        <f t="shared" si="77"/>
        <v>0</v>
      </c>
      <c r="AS53" s="12">
        <f t="shared" si="78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2" t="s">
        <v>1</v>
      </c>
      <c r="C54" s="132"/>
      <c r="D54" s="132"/>
      <c r="E54" s="132"/>
      <c r="F54" s="132"/>
      <c r="G54" s="132"/>
      <c r="H54" s="132"/>
      <c r="I54" s="132"/>
      <c r="J54" s="12">
        <f t="shared" ref="J54:R54" si="97">J55+J56+J57+J58+J59+J61+J62</f>
        <v>1731743649.9200001</v>
      </c>
      <c r="K54" s="12">
        <f t="shared" si="97"/>
        <v>1726065816.5200002</v>
      </c>
      <c r="L54" s="26">
        <f t="shared" si="97"/>
        <v>754564037.68999994</v>
      </c>
      <c r="M54" s="26">
        <f t="shared" si="97"/>
        <v>750829669.28999996</v>
      </c>
      <c r="N54" s="12">
        <f t="shared" si="97"/>
        <v>1949401304.4499998</v>
      </c>
      <c r="O54" s="12">
        <f t="shared" si="97"/>
        <v>1942881158.9100001</v>
      </c>
      <c r="P54" s="12">
        <f t="shared" si="97"/>
        <v>1942881158.9100001</v>
      </c>
      <c r="Q54" s="12">
        <v>1942881158.9100001</v>
      </c>
      <c r="R54" s="12">
        <f t="shared" si="97"/>
        <v>1942881158.9100001</v>
      </c>
      <c r="S54" s="12">
        <f t="shared" ref="S54:AD54" si="98">S55+S56+S57+S58+S59+S60+S61+S62</f>
        <v>2058217674.4300001</v>
      </c>
      <c r="T54" s="12">
        <f t="shared" si="98"/>
        <v>2039899297.8500004</v>
      </c>
      <c r="U54" s="12">
        <f t="shared" si="98"/>
        <v>2039899297.8500004</v>
      </c>
      <c r="V54" s="12">
        <f t="shared" si="98"/>
        <v>1342848418.6400003</v>
      </c>
      <c r="W54" s="12">
        <f t="shared" si="98"/>
        <v>0</v>
      </c>
      <c r="X54" s="12">
        <f t="shared" si="98"/>
        <v>0</v>
      </c>
      <c r="Y54" s="12">
        <f t="shared" si="98"/>
        <v>1342848418.6400003</v>
      </c>
      <c r="Z54" s="12">
        <f t="shared" si="98"/>
        <v>1741578685.6100001</v>
      </c>
      <c r="AA54" s="12">
        <f t="shared" si="98"/>
        <v>1934856361.9000001</v>
      </c>
      <c r="AB54" s="125">
        <f t="shared" si="98"/>
        <v>1297712233.3</v>
      </c>
      <c r="AC54" s="12">
        <f t="shared" ref="AC54" si="99">AC55+AC56+AC57+AC58+AC59+AC60+AC61+AC62</f>
        <v>68446925.100000009</v>
      </c>
      <c r="AD54" s="12">
        <f t="shared" si="98"/>
        <v>13505356.82</v>
      </c>
      <c r="AE54" s="12">
        <v>1183176208.29</v>
      </c>
      <c r="AF54" s="12">
        <f>AF55+AF56+AF57+AF58+AF59+AF60+AF61+AF62</f>
        <v>1196681565.1100001</v>
      </c>
      <c r="AG54" s="12">
        <f t="shared" si="9"/>
        <v>-54941568.280000009</v>
      </c>
      <c r="AH54" s="44">
        <f t="shared" si="4"/>
        <v>-544897120.5</v>
      </c>
      <c r="AI54" s="44">
        <f t="shared" si="81"/>
        <v>68.71246042442543</v>
      </c>
      <c r="AJ54" s="12">
        <f t="shared" si="10"/>
        <v>-738174796.78999996</v>
      </c>
      <c r="AK54" s="44">
        <f t="shared" si="16"/>
        <v>61.848599651856148</v>
      </c>
      <c r="AL54" s="12" t="e">
        <f>AF54-#REF!</f>
        <v>#REF!</v>
      </c>
      <c r="AM54" s="12" t="e">
        <f>IF(#REF!=0,0,AF54/#REF!*100)</f>
        <v>#REF!</v>
      </c>
      <c r="AN54" s="44">
        <f t="shared" si="11"/>
        <v>-101030668.18999982</v>
      </c>
      <c r="AO54" s="44">
        <f t="shared" si="12"/>
        <v>92.214709424978963</v>
      </c>
      <c r="AP54" s="12">
        <f t="shared" si="13"/>
        <v>-146166853.53000021</v>
      </c>
      <c r="AQ54" s="44">
        <f t="shared" si="17"/>
        <v>89.115163595453765</v>
      </c>
      <c r="AR54" s="12">
        <f t="shared" si="77"/>
        <v>445851895.82000017</v>
      </c>
      <c r="AS54" s="12">
        <f t="shared" si="78"/>
        <v>159.38123039831481</v>
      </c>
      <c r="AT54" s="34" t="e">
        <f t="shared" ref="AT54" si="100">AT55+AT56+AT57+AT58+AT59+AT61+AT62</f>
        <v>#REF!</v>
      </c>
    </row>
    <row r="55" spans="1:48" s="10" customFormat="1" ht="38.25" customHeight="1" x14ac:dyDescent="0.3">
      <c r="A55" s="9"/>
      <c r="B55" s="132" t="s">
        <v>6</v>
      </c>
      <c r="C55" s="132"/>
      <c r="D55" s="132"/>
      <c r="E55" s="132"/>
      <c r="F55" s="132"/>
      <c r="G55" s="132"/>
      <c r="H55" s="132"/>
      <c r="I55" s="132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1">O55</f>
        <v>436509000</v>
      </c>
      <c r="Q55" s="12">
        <v>436509000</v>
      </c>
      <c r="R55" s="12">
        <f t="shared" ref="R55:R62" si="102">Q55</f>
        <v>436509000</v>
      </c>
      <c r="S55" s="12">
        <v>543552380</v>
      </c>
      <c r="T55" s="12">
        <v>543552380</v>
      </c>
      <c r="U55" s="12">
        <f t="shared" ref="U55:U62" si="103">T55</f>
        <v>543552380</v>
      </c>
      <c r="V55" s="12">
        <v>432188000</v>
      </c>
      <c r="W55" s="12"/>
      <c r="X55" s="12"/>
      <c r="Y55" s="12">
        <f t="shared" ref="Y55:Y62" si="104">V55</f>
        <v>432188000</v>
      </c>
      <c r="Z55" s="12">
        <v>543282000</v>
      </c>
      <c r="AA55" s="12">
        <v>504630000</v>
      </c>
      <c r="AB55" s="129">
        <v>336420000</v>
      </c>
      <c r="AC55" s="12">
        <v>16595168</v>
      </c>
      <c r="AD55" s="12">
        <v>0</v>
      </c>
      <c r="AE55" s="12">
        <v>336420000</v>
      </c>
      <c r="AF55" s="12">
        <f t="shared" si="21"/>
        <v>336420000</v>
      </c>
      <c r="AG55" s="12">
        <f t="shared" si="9"/>
        <v>-16595168</v>
      </c>
      <c r="AH55" s="44">
        <f t="shared" si="4"/>
        <v>-206862000</v>
      </c>
      <c r="AI55" s="44">
        <f t="shared" si="81"/>
        <v>61.923641865550479</v>
      </c>
      <c r="AJ55" s="12">
        <f t="shared" si="10"/>
        <v>-168210000</v>
      </c>
      <c r="AK55" s="44">
        <f t="shared" si="16"/>
        <v>66.666666666666671</v>
      </c>
      <c r="AL55" s="12" t="e">
        <f>AF55-#REF!</f>
        <v>#REF!</v>
      </c>
      <c r="AM55" s="12" t="e">
        <f>IF(#REF!=0,0,AF55/#REF!*100)</f>
        <v>#REF!</v>
      </c>
      <c r="AN55" s="44">
        <f t="shared" si="11"/>
        <v>0</v>
      </c>
      <c r="AO55" s="44">
        <f t="shared" si="12"/>
        <v>100</v>
      </c>
      <c r="AP55" s="12">
        <f t="shared" si="13"/>
        <v>-95768000</v>
      </c>
      <c r="AQ55" s="44">
        <f t="shared" si="17"/>
        <v>77.841124695734266</v>
      </c>
      <c r="AR55" s="12">
        <f t="shared" si="77"/>
        <v>134931000</v>
      </c>
      <c r="AS55" s="12">
        <f t="shared" si="78"/>
        <v>166.96693119723659</v>
      </c>
      <c r="AT55" s="34">
        <v>436509000</v>
      </c>
    </row>
    <row r="56" spans="1:48" s="10" customFormat="1" ht="43.5" customHeight="1" x14ac:dyDescent="0.3">
      <c r="A56" s="9"/>
      <c r="B56" s="132" t="s">
        <v>5</v>
      </c>
      <c r="C56" s="132"/>
      <c r="D56" s="132"/>
      <c r="E56" s="132"/>
      <c r="F56" s="132"/>
      <c r="G56" s="132"/>
      <c r="H56" s="132"/>
      <c r="I56" s="132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1"/>
        <v>266680542.02000001</v>
      </c>
      <c r="Q56" s="12">
        <v>266680542.02000001</v>
      </c>
      <c r="R56" s="12">
        <f t="shared" si="102"/>
        <v>266680542.02000001</v>
      </c>
      <c r="S56" s="12">
        <v>448087921.25</v>
      </c>
      <c r="T56" s="12">
        <v>432403468.83000004</v>
      </c>
      <c r="U56" s="12">
        <f t="shared" si="103"/>
        <v>432403468.83000004</v>
      </c>
      <c r="V56" s="12">
        <v>177313570.43000001</v>
      </c>
      <c r="W56" s="12"/>
      <c r="X56" s="12"/>
      <c r="Y56" s="12">
        <f t="shared" si="104"/>
        <v>177313570.43000001</v>
      </c>
      <c r="Z56" s="12">
        <v>164450526.09999999</v>
      </c>
      <c r="AA56" s="12">
        <v>488384911.55000001</v>
      </c>
      <c r="AB56" s="125">
        <v>284601807.69</v>
      </c>
      <c r="AC56" s="12">
        <v>44470287.380000003</v>
      </c>
      <c r="AD56" s="12">
        <v>1775814.44</v>
      </c>
      <c r="AE56" s="12">
        <v>245725709.14000002</v>
      </c>
      <c r="AF56" s="12">
        <f t="shared" si="21"/>
        <v>247501523.58000001</v>
      </c>
      <c r="AG56" s="12">
        <f t="shared" si="9"/>
        <v>-42694472.940000005</v>
      </c>
      <c r="AH56" s="44">
        <f t="shared" si="4"/>
        <v>83050997.480000019</v>
      </c>
      <c r="AI56" s="44">
        <f t="shared" si="81"/>
        <v>150.50211723220508</v>
      </c>
      <c r="AJ56" s="12">
        <f t="shared" si="10"/>
        <v>-240883387.97</v>
      </c>
      <c r="AK56" s="44">
        <f t="shared" si="16"/>
        <v>50.677553242686784</v>
      </c>
      <c r="AL56" s="12" t="e">
        <f>AF56-#REF!</f>
        <v>#REF!</v>
      </c>
      <c r="AM56" s="12" t="e">
        <f>IF(#REF!=0,0,AF56/#REF!*100)</f>
        <v>#REF!</v>
      </c>
      <c r="AN56" s="44">
        <f t="shared" si="11"/>
        <v>-37100284.109999985</v>
      </c>
      <c r="AO56" s="44">
        <f t="shared" si="12"/>
        <v>86.964143196725189</v>
      </c>
      <c r="AP56" s="12">
        <f t="shared" si="13"/>
        <v>70187953.150000006</v>
      </c>
      <c r="AQ56" s="44">
        <f t="shared" si="17"/>
        <v>139.58408427498722</v>
      </c>
      <c r="AR56" s="12">
        <f t="shared" si="77"/>
        <v>179249339.48000002</v>
      </c>
      <c r="AS56" s="12">
        <f t="shared" si="78"/>
        <v>362.62799036199641</v>
      </c>
      <c r="AT56" s="34" t="e">
        <f>#REF!</f>
        <v>#REF!</v>
      </c>
    </row>
    <row r="57" spans="1:48" s="10" customFormat="1" ht="45" customHeight="1" x14ac:dyDescent="0.3">
      <c r="A57" s="9"/>
      <c r="B57" s="132" t="s">
        <v>4</v>
      </c>
      <c r="C57" s="132"/>
      <c r="D57" s="132"/>
      <c r="E57" s="132"/>
      <c r="F57" s="132"/>
      <c r="G57" s="132"/>
      <c r="H57" s="132"/>
      <c r="I57" s="132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1"/>
        <v>1213354064.45</v>
      </c>
      <c r="Q57" s="12">
        <v>1213354064.45</v>
      </c>
      <c r="R57" s="12">
        <f t="shared" si="102"/>
        <v>1213354064.45</v>
      </c>
      <c r="S57" s="12">
        <v>1052485113.04</v>
      </c>
      <c r="T57" s="12">
        <v>1050017221.74</v>
      </c>
      <c r="U57" s="12">
        <f t="shared" si="103"/>
        <v>1050017221.74</v>
      </c>
      <c r="V57" s="12">
        <v>730486214.48000002</v>
      </c>
      <c r="W57" s="12"/>
      <c r="X57" s="12"/>
      <c r="Y57" s="12">
        <f t="shared" si="104"/>
        <v>730486214.48000002</v>
      </c>
      <c r="Z57" s="12">
        <v>1032066181.7</v>
      </c>
      <c r="AA57" s="12">
        <v>908628685.87</v>
      </c>
      <c r="AB57" s="125">
        <v>650893566.99000001</v>
      </c>
      <c r="AC57" s="12">
        <v>7381469.7199999997</v>
      </c>
      <c r="AD57" s="12">
        <v>9146549.7300000004</v>
      </c>
      <c r="AE57" s="12">
        <v>578382075.46000004</v>
      </c>
      <c r="AF57" s="12">
        <f t="shared" si="21"/>
        <v>587528625.19000006</v>
      </c>
      <c r="AG57" s="12">
        <f t="shared" si="9"/>
        <v>1765080.0100000007</v>
      </c>
      <c r="AH57" s="44">
        <f t="shared" si="4"/>
        <v>-444537556.50999999</v>
      </c>
      <c r="AI57" s="44">
        <f t="shared" si="81"/>
        <v>56.927417602448131</v>
      </c>
      <c r="AJ57" s="12">
        <f t="shared" si="10"/>
        <v>-321100060.67999995</v>
      </c>
      <c r="AK57" s="44">
        <f t="shared" si="16"/>
        <v>64.661025381060824</v>
      </c>
      <c r="AL57" s="12" t="e">
        <f>AF57-#REF!</f>
        <v>#REF!</v>
      </c>
      <c r="AM57" s="12" t="e">
        <f>IF(#REF!=0,0,AF57/#REF!*100)</f>
        <v>#REF!</v>
      </c>
      <c r="AN57" s="44">
        <f t="shared" si="11"/>
        <v>-63364941.799999952</v>
      </c>
      <c r="AO57" s="44">
        <f t="shared" si="12"/>
        <v>90.264930395145001</v>
      </c>
      <c r="AP57" s="12">
        <f t="shared" si="13"/>
        <v>-142957589.28999996</v>
      </c>
      <c r="AQ57" s="44">
        <f t="shared" si="17"/>
        <v>80.429803265792643</v>
      </c>
      <c r="AR57" s="12">
        <f t="shared" si="77"/>
        <v>103029943.07000005</v>
      </c>
      <c r="AS57" s="12">
        <f t="shared" si="78"/>
        <v>121.26526797125152</v>
      </c>
      <c r="AT57" s="34" t="e">
        <f>#REF!</f>
        <v>#REF!</v>
      </c>
    </row>
    <row r="58" spans="1:48" s="10" customFormat="1" ht="27" customHeight="1" x14ac:dyDescent="0.3">
      <c r="A58" s="9"/>
      <c r="B58" s="132" t="s">
        <v>3</v>
      </c>
      <c r="C58" s="132"/>
      <c r="D58" s="132"/>
      <c r="E58" s="132"/>
      <c r="F58" s="132"/>
      <c r="G58" s="132"/>
      <c r="H58" s="132"/>
      <c r="I58" s="132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1"/>
        <v>31536396.41</v>
      </c>
      <c r="Q58" s="12">
        <v>31536396.41</v>
      </c>
      <c r="R58" s="12">
        <f t="shared" si="102"/>
        <v>31536396.41</v>
      </c>
      <c r="S58" s="12">
        <v>14687976.27</v>
      </c>
      <c r="T58" s="12">
        <v>14514443.27</v>
      </c>
      <c r="U58" s="12">
        <f t="shared" si="103"/>
        <v>14514443.27</v>
      </c>
      <c r="V58" s="12">
        <v>3467233.49</v>
      </c>
      <c r="W58" s="12"/>
      <c r="X58" s="12"/>
      <c r="Y58" s="12">
        <f t="shared" si="104"/>
        <v>3467233.49</v>
      </c>
      <c r="Z58" s="12">
        <v>1779977.81</v>
      </c>
      <c r="AA58" s="12">
        <v>33177764.48</v>
      </c>
      <c r="AB58" s="125">
        <v>25761858.620000001</v>
      </c>
      <c r="AC58" s="12">
        <v>0</v>
      </c>
      <c r="AD58" s="12">
        <f>2586492.65</f>
        <v>2586492.65</v>
      </c>
      <c r="AE58" s="12">
        <v>25854062.549999997</v>
      </c>
      <c r="AF58" s="12">
        <f t="shared" si="21"/>
        <v>28440555.199999996</v>
      </c>
      <c r="AG58" s="12">
        <f t="shared" si="9"/>
        <v>2586492.65</v>
      </c>
      <c r="AH58" s="44">
        <f t="shared" si="4"/>
        <v>26660577.389999997</v>
      </c>
      <c r="AI58" s="44">
        <f t="shared" si="81"/>
        <v>1597.8039186904243</v>
      </c>
      <c r="AJ58" s="12">
        <f t="shared" si="10"/>
        <v>-4737209.2800000049</v>
      </c>
      <c r="AK58" s="44">
        <f t="shared" si="16"/>
        <v>85.721734558530429</v>
      </c>
      <c r="AL58" s="12" t="e">
        <f>AF58-#REF!</f>
        <v>#REF!</v>
      </c>
      <c r="AM58" s="12" t="e">
        <f>IF(#REF!=0,0,AF58/#REF!*100)</f>
        <v>#REF!</v>
      </c>
      <c r="AN58" s="44">
        <f t="shared" si="11"/>
        <v>2678696.5799999945</v>
      </c>
      <c r="AO58" s="44">
        <f t="shared" si="12"/>
        <v>110.39791662361043</v>
      </c>
      <c r="AP58" s="12">
        <f t="shared" si="13"/>
        <v>24973321.709999993</v>
      </c>
      <c r="AQ58" s="44">
        <f t="shared" si="17"/>
        <v>820.26651167354737</v>
      </c>
      <c r="AR58" s="12">
        <f t="shared" si="77"/>
        <v>27911154.769999996</v>
      </c>
      <c r="AS58" s="12">
        <f t="shared" si="78"/>
        <v>5372.2198903389617</v>
      </c>
      <c r="AT58" s="34" t="e">
        <f>#REF!</f>
        <v>#REF!</v>
      </c>
    </row>
    <row r="59" spans="1:48" s="10" customFormat="1" ht="39" customHeight="1" x14ac:dyDescent="0.3">
      <c r="A59" s="9"/>
      <c r="B59" s="132" t="s">
        <v>2</v>
      </c>
      <c r="C59" s="132"/>
      <c r="D59" s="132"/>
      <c r="E59" s="132"/>
      <c r="F59" s="132"/>
      <c r="G59" s="132"/>
      <c r="H59" s="132"/>
      <c r="I59" s="132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1"/>
        <v>18244.099999999999</v>
      </c>
      <c r="Q59" s="12">
        <v>18244.099999999999</v>
      </c>
      <c r="R59" s="12">
        <f t="shared" si="102"/>
        <v>18244.099999999999</v>
      </c>
      <c r="S59" s="12">
        <v>102600.69</v>
      </c>
      <c r="T59" s="12">
        <v>110100.69</v>
      </c>
      <c r="U59" s="12">
        <f t="shared" si="103"/>
        <v>110100.69</v>
      </c>
      <c r="V59" s="12">
        <v>91716.92</v>
      </c>
      <c r="W59" s="12"/>
      <c r="X59" s="12"/>
      <c r="Y59" s="12">
        <f t="shared" si="104"/>
        <v>91716.92</v>
      </c>
      <c r="Z59" s="12">
        <v>0</v>
      </c>
      <c r="AA59" s="12">
        <v>35000</v>
      </c>
      <c r="AB59" s="125">
        <v>35000</v>
      </c>
      <c r="AC59" s="12">
        <v>0</v>
      </c>
      <c r="AD59" s="12">
        <v>0</v>
      </c>
      <c r="AE59" s="12">
        <v>35000</v>
      </c>
      <c r="AF59" s="12">
        <f t="shared" si="21"/>
        <v>35000</v>
      </c>
      <c r="AG59" s="12">
        <f t="shared" si="9"/>
        <v>0</v>
      </c>
      <c r="AH59" s="44">
        <f t="shared" si="4"/>
        <v>35000</v>
      </c>
      <c r="AI59" s="44">
        <v>0</v>
      </c>
      <c r="AJ59" s="12">
        <f t="shared" si="10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1"/>
        <v>0</v>
      </c>
      <c r="AO59" s="44">
        <f t="shared" si="12"/>
        <v>100</v>
      </c>
      <c r="AP59" s="12">
        <f t="shared" si="13"/>
        <v>-56716.92</v>
      </c>
      <c r="AQ59" s="44">
        <f t="shared" si="17"/>
        <v>38.16089768387338</v>
      </c>
      <c r="AR59" s="12">
        <f t="shared" si="77"/>
        <v>19854.900000000001</v>
      </c>
      <c r="AS59" s="12">
        <f t="shared" si="78"/>
        <v>231.09784682834712</v>
      </c>
      <c r="AT59" s="34">
        <f>AF59</f>
        <v>35000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4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1"/>
        <v>0</v>
      </c>
      <c r="AG60" s="12">
        <f>AD60-AC60</f>
        <v>0</v>
      </c>
      <c r="AH60" s="44">
        <f t="shared" si="4"/>
        <v>0</v>
      </c>
      <c r="AI60" s="44">
        <v>0</v>
      </c>
      <c r="AJ60" s="12">
        <f t="shared" si="10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1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1"/>
        <v>280404</v>
      </c>
      <c r="Q61" s="12">
        <v>280404</v>
      </c>
      <c r="R61" s="12">
        <f t="shared" si="102"/>
        <v>280404</v>
      </c>
      <c r="S61" s="12">
        <v>0</v>
      </c>
      <c r="T61" s="12">
        <v>0.13999999999941792</v>
      </c>
      <c r="U61" s="12">
        <f t="shared" si="103"/>
        <v>0.13999999999941792</v>
      </c>
      <c r="V61" s="12">
        <v>0.14000000000000001</v>
      </c>
      <c r="W61" s="12"/>
      <c r="X61" s="12"/>
      <c r="Y61" s="12">
        <f t="shared" si="104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1"/>
        <v>0</v>
      </c>
      <c r="AG61" s="12">
        <f t="shared" si="9"/>
        <v>0</v>
      </c>
      <c r="AH61" s="44">
        <f t="shared" si="4"/>
        <v>0</v>
      </c>
      <c r="AI61" s="44">
        <v>0</v>
      </c>
      <c r="AJ61" s="12">
        <f t="shared" si="10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1"/>
        <v>0</v>
      </c>
      <c r="AO61" s="44">
        <v>0</v>
      </c>
      <c r="AP61" s="12">
        <f t="shared" si="13"/>
        <v>-0.14000000000000001</v>
      </c>
      <c r="AQ61" s="44">
        <f t="shared" si="17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2" t="s">
        <v>0</v>
      </c>
      <c r="C62" s="132"/>
      <c r="D62" s="132"/>
      <c r="E62" s="132"/>
      <c r="F62" s="132"/>
      <c r="G62" s="132"/>
      <c r="H62" s="132"/>
      <c r="I62" s="132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1"/>
        <v>-5497492.0700000003</v>
      </c>
      <c r="Q62" s="12">
        <v>-5497492.0700000003</v>
      </c>
      <c r="R62" s="12">
        <f t="shared" si="102"/>
        <v>-5497492.0700000003</v>
      </c>
      <c r="S62" s="12">
        <v>-698316.82</v>
      </c>
      <c r="T62" s="12">
        <v>-698316.82000000018</v>
      </c>
      <c r="U62" s="12">
        <f t="shared" si="103"/>
        <v>-698316.82000000018</v>
      </c>
      <c r="V62" s="12">
        <v>-698316.82</v>
      </c>
      <c r="W62" s="12"/>
      <c r="X62" s="12"/>
      <c r="Y62" s="12">
        <f t="shared" si="104"/>
        <v>-698316.82</v>
      </c>
      <c r="Z62" s="12">
        <v>0</v>
      </c>
      <c r="AA62" s="12">
        <v>0</v>
      </c>
      <c r="AB62" s="125">
        <v>0</v>
      </c>
      <c r="AC62" s="12">
        <v>0</v>
      </c>
      <c r="AD62" s="12">
        <v>-3500</v>
      </c>
      <c r="AE62" s="12">
        <v>-3240638.8599999975</v>
      </c>
      <c r="AF62" s="12">
        <f t="shared" si="21"/>
        <v>-3244138.8599999975</v>
      </c>
      <c r="AG62" s="12">
        <f t="shared" si="9"/>
        <v>-3500</v>
      </c>
      <c r="AH62" s="44">
        <f t="shared" si="4"/>
        <v>-3244138.8599999975</v>
      </c>
      <c r="AI62" s="44">
        <v>0</v>
      </c>
      <c r="AJ62" s="12">
        <f t="shared" si="10"/>
        <v>-3244138.8599999975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1"/>
        <v>-3244138.8599999975</v>
      </c>
      <c r="AO62" s="12">
        <v>0</v>
      </c>
      <c r="AP62" s="12">
        <f t="shared" si="13"/>
        <v>-2545822.0399999977</v>
      </c>
      <c r="AQ62" s="44">
        <f t="shared" si="17"/>
        <v>464.56547616882517</v>
      </c>
      <c r="AR62" s="12">
        <f>AF62-M62</f>
        <v>710603.60000000242</v>
      </c>
      <c r="AS62" s="12">
        <f>IF(M62=0,0,AF62/M62*100)</f>
        <v>82.031608703035431</v>
      </c>
      <c r="AT62" s="34">
        <f>AF62</f>
        <v>-3244138.8599999975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5">J54+J7</f>
        <v>2092393430.8699999</v>
      </c>
      <c r="K63" s="13">
        <f t="shared" si="105"/>
        <v>2073076231.6351347</v>
      </c>
      <c r="L63" s="28">
        <f t="shared" si="105"/>
        <v>881017080.54999995</v>
      </c>
      <c r="M63" s="26">
        <f t="shared" si="105"/>
        <v>873913524.7655431</v>
      </c>
      <c r="N63" s="12">
        <f t="shared" si="105"/>
        <v>2309803775.2699995</v>
      </c>
      <c r="O63" s="12">
        <f t="shared" si="105"/>
        <v>2328450949.6999998</v>
      </c>
      <c r="P63" s="12">
        <f t="shared" si="105"/>
        <v>2327457942.815587</v>
      </c>
      <c r="Q63" s="12">
        <f t="shared" si="105"/>
        <v>2328450949.6999998</v>
      </c>
      <c r="R63" s="12">
        <f t="shared" si="105"/>
        <v>2324234116.085587</v>
      </c>
      <c r="S63" s="12">
        <f t="shared" si="105"/>
        <v>2468054121.4099998</v>
      </c>
      <c r="T63" s="12">
        <f t="shared" si="105"/>
        <v>2473502940.9500003</v>
      </c>
      <c r="U63" s="12">
        <f t="shared" si="105"/>
        <v>2624074313.2158422</v>
      </c>
      <c r="V63" s="12">
        <f t="shared" si="105"/>
        <v>1579543804.7100003</v>
      </c>
      <c r="W63" s="12"/>
      <c r="X63" s="12">
        <f t="shared" ref="X63:AF63" si="106">X54+X7</f>
        <v>0</v>
      </c>
      <c r="Y63" s="12">
        <f t="shared" si="106"/>
        <v>1667459278.7384551</v>
      </c>
      <c r="Z63" s="12">
        <f t="shared" si="106"/>
        <v>2141993785.2600002</v>
      </c>
      <c r="AA63" s="12">
        <f t="shared" si="106"/>
        <v>2522406988.8699999</v>
      </c>
      <c r="AB63" s="125">
        <f t="shared" si="106"/>
        <v>1668140165.2</v>
      </c>
      <c r="AC63" s="12">
        <f t="shared" si="106"/>
        <v>70496429.270000011</v>
      </c>
      <c r="AD63" s="12">
        <f t="shared" si="106"/>
        <v>45993958.890000001</v>
      </c>
      <c r="AE63" s="12">
        <f t="shared" si="106"/>
        <v>1541983697.49</v>
      </c>
      <c r="AF63" s="12">
        <f t="shared" si="106"/>
        <v>1587977656.3800001</v>
      </c>
      <c r="AG63" s="12">
        <f t="shared" si="9"/>
        <v>-24502470.38000001</v>
      </c>
      <c r="AH63" s="12">
        <f t="shared" si="4"/>
        <v>-554016128.88000011</v>
      </c>
      <c r="AI63" s="12">
        <f>AF63/Z63*100</f>
        <v>74.13549317031503</v>
      </c>
      <c r="AJ63" s="12">
        <f>AF63-AA63</f>
        <v>-934429332.48999977</v>
      </c>
      <c r="AK63" s="12">
        <f t="shared" si="16"/>
        <v>62.954854763203386</v>
      </c>
      <c r="AL63" s="12" t="e">
        <f>AF63-#REF!</f>
        <v>#REF!</v>
      </c>
      <c r="AM63" s="12" t="e">
        <f>IF(#REF!=0,0,AF63/#REF!*100)</f>
        <v>#REF!</v>
      </c>
      <c r="AN63" s="12">
        <f t="shared" si="11"/>
        <v>-80162508.819999933</v>
      </c>
      <c r="AO63" s="12">
        <f t="shared" si="12"/>
        <v>95.194498010879741</v>
      </c>
      <c r="AP63" s="12">
        <f t="shared" si="13"/>
        <v>-79481622.358454943</v>
      </c>
      <c r="AQ63" s="12">
        <f t="shared" si="17"/>
        <v>95.233369511812711</v>
      </c>
      <c r="AR63" s="12">
        <f>AF63-M63</f>
        <v>714064131.61445701</v>
      </c>
      <c r="AS63" s="12">
        <f>IF(M63=0,0,AF63/M63*100)</f>
        <v>181.70878598154536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99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1658010277.588455</v>
      </c>
      <c r="W65" s="94"/>
      <c r="X65" s="101"/>
      <c r="Y65" s="94" t="s">
        <v>98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1"/>
      <c r="AL65" s="131"/>
      <c r="AM65" s="131"/>
      <c r="AN65" s="131"/>
      <c r="AO65" s="131"/>
      <c r="AP65" s="131"/>
    </row>
    <row r="66" spans="1:44" s="78" customFormat="1" ht="18" customHeight="1" x14ac:dyDescent="0.3">
      <c r="O66" s="78" t="s">
        <v>40</v>
      </c>
      <c r="Q66" s="88"/>
      <c r="V66" s="120">
        <f>V63-V10+Y10-V12+Y12</f>
        <v>1667459278.7384548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1541983697.49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C4:AD4"/>
    <mergeCell ref="AE4:AE5"/>
    <mergeCell ref="R4:R5"/>
    <mergeCell ref="S4:S5"/>
    <mergeCell ref="T4:T5"/>
    <mergeCell ref="W4:W5"/>
    <mergeCell ref="B21:M21"/>
    <mergeCell ref="AP4:AQ4"/>
    <mergeCell ref="B14:I14"/>
    <mergeCell ref="B15:I15"/>
    <mergeCell ref="B16:I16"/>
    <mergeCell ref="B17:I17"/>
    <mergeCell ref="B20:I20"/>
    <mergeCell ref="AA4:AB5"/>
    <mergeCell ref="AR4:AS4"/>
    <mergeCell ref="B7:I7"/>
    <mergeCell ref="B10:I10"/>
    <mergeCell ref="B11:I11"/>
    <mergeCell ref="B13:I13"/>
    <mergeCell ref="AF4:AF5"/>
    <mergeCell ref="AG4:AG5"/>
    <mergeCell ref="AH4:AI4"/>
    <mergeCell ref="AJ4:AK4"/>
    <mergeCell ref="AL4:AM4"/>
    <mergeCell ref="AN4:AO4"/>
    <mergeCell ref="X4:X5"/>
    <mergeCell ref="Y4:Y5"/>
    <mergeCell ref="Z4:Z5"/>
    <mergeCell ref="U4:U5"/>
    <mergeCell ref="V4:V5"/>
    <mergeCell ref="B54:I54"/>
    <mergeCell ref="B23:I23"/>
    <mergeCell ref="B29:I29"/>
    <mergeCell ref="B36:I36"/>
    <mergeCell ref="B37:I37"/>
    <mergeCell ref="B38:I38"/>
    <mergeCell ref="B44:I44"/>
    <mergeCell ref="B45:I45"/>
    <mergeCell ref="B46:I46"/>
    <mergeCell ref="B47:I47"/>
    <mergeCell ref="B48:I48"/>
    <mergeCell ref="B50:I50"/>
    <mergeCell ref="AK65:AP65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8" fitToWidth="2" fitToHeight="0" orientation="landscape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view="pageBreakPreview" zoomScale="66" zoomScaleNormal="68" zoomScaleSheetLayoutView="66" workbookViewId="0">
      <pane xSplit="20" ySplit="6" topLeftCell="U59" activePane="bottomRight" state="frozen"/>
      <selection pane="topRight" activeCell="U1" sqref="U1"/>
      <selection pane="bottomLeft" activeCell="A7" sqref="A7"/>
      <selection pane="bottomRight" activeCell="AE66" sqref="AE66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2.28515625" style="1" hidden="1" customWidth="1"/>
    <col min="21" max="21" width="23.7109375" style="1" customWidth="1"/>
    <col min="22" max="22" width="23.140625" style="1" hidden="1" customWidth="1"/>
    <col min="23" max="23" width="20.7109375" style="1" hidden="1" customWidth="1"/>
    <col min="24" max="24" width="22.710937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customWidth="1"/>
    <col min="29" max="29" width="22.140625" style="1" customWidth="1"/>
    <col min="30" max="30" width="22" style="1" customWidth="1"/>
    <col min="31" max="31" width="25.5703125" style="1" customWidth="1"/>
    <col min="32" max="32" width="26.7109375" style="1" customWidth="1"/>
    <col min="33" max="33" width="21.42578125" style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customWidth="1"/>
    <col min="41" max="41" width="13" style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0" t="s">
        <v>100</v>
      </c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48.261645240117517</v>
      </c>
      <c r="U3" s="104"/>
      <c r="V3" s="106">
        <f>V8/S8%</f>
        <v>49.924047979706671</v>
      </c>
      <c r="W3" s="106"/>
      <c r="X3" s="105"/>
      <c r="Y3" s="80"/>
      <c r="Z3" s="80">
        <f>U3-Y63</f>
        <v>-1528686543.3038945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1" t="s">
        <v>34</v>
      </c>
      <c r="J4" s="138" t="s">
        <v>44</v>
      </c>
      <c r="K4" s="138" t="s">
        <v>50</v>
      </c>
      <c r="L4" s="145" t="s">
        <v>55</v>
      </c>
      <c r="M4" s="138" t="s">
        <v>53</v>
      </c>
      <c r="N4" s="138" t="s">
        <v>52</v>
      </c>
      <c r="O4" s="145" t="s">
        <v>49</v>
      </c>
      <c r="P4" s="138" t="s">
        <v>62</v>
      </c>
      <c r="Q4" s="145" t="s">
        <v>64</v>
      </c>
      <c r="R4" s="138" t="s">
        <v>63</v>
      </c>
      <c r="S4" s="141" t="s">
        <v>81</v>
      </c>
      <c r="T4" s="145" t="s">
        <v>80</v>
      </c>
      <c r="U4" s="138" t="s">
        <v>82</v>
      </c>
      <c r="V4" s="145" t="s">
        <v>101</v>
      </c>
      <c r="W4" s="146" t="s">
        <v>75</v>
      </c>
      <c r="X4" s="142" t="s">
        <v>79</v>
      </c>
      <c r="Y4" s="138" t="s">
        <v>102</v>
      </c>
      <c r="Z4" s="143" t="s">
        <v>65</v>
      </c>
      <c r="AA4" s="152" t="s">
        <v>94</v>
      </c>
      <c r="AB4" s="153"/>
      <c r="AC4" s="135" t="s">
        <v>56</v>
      </c>
      <c r="AD4" s="135"/>
      <c r="AE4" s="154" t="s">
        <v>106</v>
      </c>
      <c r="AF4" s="138" t="s">
        <v>107</v>
      </c>
      <c r="AG4" s="139" t="s">
        <v>43</v>
      </c>
      <c r="AH4" s="141" t="s">
        <v>66</v>
      </c>
      <c r="AI4" s="141"/>
      <c r="AJ4" s="135" t="s">
        <v>93</v>
      </c>
      <c r="AK4" s="135"/>
      <c r="AL4" s="135" t="s">
        <v>51</v>
      </c>
      <c r="AM4" s="135"/>
      <c r="AN4" s="135" t="s">
        <v>108</v>
      </c>
      <c r="AO4" s="135"/>
      <c r="AP4" s="135" t="s">
        <v>109</v>
      </c>
      <c r="AQ4" s="135"/>
      <c r="AR4" s="135" t="s">
        <v>54</v>
      </c>
      <c r="AS4" s="135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1"/>
      <c r="J5" s="138"/>
      <c r="K5" s="138"/>
      <c r="L5" s="145"/>
      <c r="M5" s="138"/>
      <c r="N5" s="138"/>
      <c r="O5" s="145"/>
      <c r="P5" s="138"/>
      <c r="Q5" s="145"/>
      <c r="R5" s="138"/>
      <c r="S5" s="141"/>
      <c r="T5" s="145"/>
      <c r="U5" s="138"/>
      <c r="V5" s="145"/>
      <c r="W5" s="147"/>
      <c r="X5" s="142"/>
      <c r="Y5" s="138"/>
      <c r="Z5" s="144"/>
      <c r="AA5" s="41" t="s">
        <v>67</v>
      </c>
      <c r="AB5" s="79" t="s">
        <v>103</v>
      </c>
      <c r="AC5" s="79" t="s">
        <v>105</v>
      </c>
      <c r="AD5" s="79" t="s">
        <v>104</v>
      </c>
      <c r="AE5" s="155"/>
      <c r="AF5" s="138"/>
      <c r="AG5" s="140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6" t="s">
        <v>8</v>
      </c>
      <c r="C7" s="136"/>
      <c r="D7" s="136"/>
      <c r="E7" s="136"/>
      <c r="F7" s="136"/>
      <c r="G7" s="136"/>
      <c r="H7" s="136"/>
      <c r="I7" s="136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122965075.98554319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209779484.79000002</v>
      </c>
      <c r="W7" s="44">
        <f>V7/S7%</f>
        <v>51.186146653334923</v>
      </c>
      <c r="X7" s="44">
        <f>X9+X22</f>
        <v>0</v>
      </c>
      <c r="Y7" s="44">
        <f>Y9+Y22</f>
        <v>283882714.48389447</v>
      </c>
      <c r="Z7" s="44">
        <f t="shared" ref="Z7:AF7" si="2">Z9+Z22</f>
        <v>400415099.64999998</v>
      </c>
      <c r="AA7" s="44">
        <f t="shared" si="2"/>
        <v>587550626.97000003</v>
      </c>
      <c r="AB7" s="121">
        <f t="shared" si="2"/>
        <v>370427931.90000004</v>
      </c>
      <c r="AC7" s="44">
        <f t="shared" si="2"/>
        <v>33436402.849999998</v>
      </c>
      <c r="AD7" s="44">
        <f t="shared" si="2"/>
        <v>7844379.7199999997</v>
      </c>
      <c r="AE7" s="44">
        <v>339429820.67000002</v>
      </c>
      <c r="AF7" s="44">
        <f t="shared" si="2"/>
        <v>347274200.3900001</v>
      </c>
      <c r="AG7" s="44">
        <f>AD7-AC7</f>
        <v>-25592023.129999999</v>
      </c>
      <c r="AH7" s="44">
        <f t="shared" ref="AH7:AH63" si="3">AF7-Z7</f>
        <v>-53140899.259999871</v>
      </c>
      <c r="AI7" s="44">
        <f t="shared" ref="AI7:AI28" si="4">AF7/Z7*100</f>
        <v>86.728547623091643</v>
      </c>
      <c r="AJ7" s="44">
        <f>AF7-AA7</f>
        <v>-240276426.57999992</v>
      </c>
      <c r="AK7" s="44">
        <f>AF7/AA7%</f>
        <v>59.105408870192853</v>
      </c>
      <c r="AL7" s="44" t="e">
        <f>AF7-#REF!</f>
        <v>#REF!</v>
      </c>
      <c r="AM7" s="44" t="e">
        <f>IF(#REF!=0,0,AF7/#REF!*100)</f>
        <v>#REF!</v>
      </c>
      <c r="AN7" s="44">
        <f>AF7-AB7</f>
        <v>-23153731.509999931</v>
      </c>
      <c r="AO7" s="44">
        <f>AF7/AB7*100</f>
        <v>93.749463926426998</v>
      </c>
      <c r="AP7" s="44">
        <f>AF7-Y7</f>
        <v>63391485.906105638</v>
      </c>
      <c r="AQ7" s="44">
        <f>AF7/Y7%</f>
        <v>122.33016759099013</v>
      </c>
      <c r="AR7" s="44">
        <f>AF7-M7</f>
        <v>224309124.40445691</v>
      </c>
      <c r="AS7" s="44">
        <f>IF(M7=0,0,AF7/M7*100)</f>
        <v>282.41693635909155</v>
      </c>
      <c r="AT7" s="45" t="e">
        <f>AT10+AT11+AT13+AT14+AT15+AT16+AT17+AT20+AT23+AT36+AT37+AT45+AT48+AT50+AT12</f>
        <v>#REF!</v>
      </c>
    </row>
    <row r="8" spans="1:47" s="10" customFormat="1" ht="99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5">S7-S37-S53</f>
        <v>370081037.89000005</v>
      </c>
      <c r="T8" s="52">
        <f t="shared" si="5"/>
        <v>392540175.78000003</v>
      </c>
      <c r="U8" s="52">
        <f>U7-U37-U53+U44-31715.49-30845.55-10000-18222.76-1302-275200</f>
        <v>544501974.11584198</v>
      </c>
      <c r="V8" s="52">
        <f>V7-V37-V53</f>
        <v>184759434.92000005</v>
      </c>
      <c r="W8" s="44">
        <f>V8/S8%</f>
        <v>49.924047979706671</v>
      </c>
      <c r="X8" s="52">
        <f t="shared" ref="X8:AD8" si="6">X7-X37-X53</f>
        <v>0</v>
      </c>
      <c r="Y8" s="52">
        <f t="shared" si="6"/>
        <v>258862664.61389449</v>
      </c>
      <c r="Z8" s="52">
        <f t="shared" si="6"/>
        <v>372608810</v>
      </c>
      <c r="AA8" s="52">
        <f t="shared" si="6"/>
        <v>553163456.62</v>
      </c>
      <c r="AB8" s="122">
        <f t="shared" si="6"/>
        <v>346178976.32000005</v>
      </c>
      <c r="AC8" s="52">
        <f t="shared" si="6"/>
        <v>33248696.049999997</v>
      </c>
      <c r="AD8" s="52">
        <f t="shared" si="6"/>
        <v>6993250.6399999997</v>
      </c>
      <c r="AE8" s="52">
        <v>315118803.25</v>
      </c>
      <c r="AF8" s="52">
        <f>AF7-AF37-AF53</f>
        <v>322112053.8900001</v>
      </c>
      <c r="AG8" s="51">
        <f t="shared" ref="AG8:AG63" si="7">AD8-AC8</f>
        <v>-26255445.409999996</v>
      </c>
      <c r="AH8" s="64">
        <f t="shared" si="3"/>
        <v>-50496756.109999895</v>
      </c>
      <c r="AI8" s="64">
        <f t="shared" si="4"/>
        <v>86.447782565849721</v>
      </c>
      <c r="AJ8" s="51">
        <f t="shared" ref="AJ8:AJ62" si="8">AF8-AA8</f>
        <v>-231051402.7299999</v>
      </c>
      <c r="AK8" s="51">
        <f>AF8/AA8%</f>
        <v>58.230899029050924</v>
      </c>
      <c r="AL8" s="51"/>
      <c r="AM8" s="51"/>
      <c r="AN8" s="64">
        <f t="shared" ref="AN8:AN63" si="9">AF8-AB8</f>
        <v>-24066922.429999948</v>
      </c>
      <c r="AO8" s="64">
        <f t="shared" ref="AO8:AO63" si="10">AF8/AB8*100</f>
        <v>93.047838235054158</v>
      </c>
      <c r="AP8" s="51">
        <f t="shared" ref="AP8:AP63" si="11">AF8-Y8</f>
        <v>63249389.276105613</v>
      </c>
      <c r="AQ8" s="51">
        <f>AF8/Y8%</f>
        <v>124.43356958039698</v>
      </c>
      <c r="AR8" s="23"/>
      <c r="AS8" s="23"/>
      <c r="AT8" s="49"/>
    </row>
    <row r="9" spans="1:47" s="10" customFormat="1" ht="30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2">S10+S11+S12+S13+S14+S15+S16+S17+S20+S21</f>
        <v>323360088.5</v>
      </c>
      <c r="T9" s="70">
        <f t="shared" si="12"/>
        <v>339771027.17000008</v>
      </c>
      <c r="U9" s="70">
        <f t="shared" ref="U9:AA9" si="13">U10+U11+U12+U13+U14+U15+U16+U17+U20+U21</f>
        <v>492445948.29584169</v>
      </c>
      <c r="V9" s="70">
        <f t="shared" si="13"/>
        <v>156058898.76000002</v>
      </c>
      <c r="W9" s="44">
        <f>V9/S9%</f>
        <v>48.261645240117517</v>
      </c>
      <c r="X9" s="70">
        <f t="shared" si="13"/>
        <v>0</v>
      </c>
      <c r="Y9" s="70">
        <f>Y10+Y11+Y12+Y13+Y14+Y15+Y16+Y17+Y20+Y21</f>
        <v>230162128.45389447</v>
      </c>
      <c r="Z9" s="70">
        <f t="shared" si="13"/>
        <v>323434900</v>
      </c>
      <c r="AA9" s="70">
        <f t="shared" si="13"/>
        <v>501903186.62</v>
      </c>
      <c r="AB9" s="123">
        <f>AB10+AB11+AB12+AB13+AB14+AB15+AB16+AB17+AB20+AB21</f>
        <v>313298443.10000002</v>
      </c>
      <c r="AC9" s="70">
        <f t="shared" ref="AC9" si="14">AC10+AC11+AC12+AC13+AC14+AC15+AC16+AC17+AC20+AC21</f>
        <v>32392471.629999999</v>
      </c>
      <c r="AD9" s="70">
        <f t="shared" ref="AD9" si="15">AD10+AD11+AD12+AD13+AD14+AD15+AD16+AD17+AD20+AD21</f>
        <v>6381248.5999999996</v>
      </c>
      <c r="AE9" s="70">
        <v>285400381.60000002</v>
      </c>
      <c r="AF9" s="70">
        <f>AF10+AF11+AF12+AF13+AF14+AF15+AF16+AF17+AF20+AF21</f>
        <v>291781630.20000011</v>
      </c>
      <c r="AG9" s="71">
        <f t="shared" si="7"/>
        <v>-26011223.030000001</v>
      </c>
      <c r="AH9" s="72"/>
      <c r="AI9" s="72"/>
      <c r="AJ9" s="71">
        <f t="shared" si="8"/>
        <v>-210121556.4199999</v>
      </c>
      <c r="AK9" s="71">
        <f>AF9/AA9%</f>
        <v>58.135042370415007</v>
      </c>
      <c r="AL9" s="73"/>
      <c r="AM9" s="73"/>
      <c r="AN9" s="72">
        <f t="shared" si="9"/>
        <v>-21516812.899999917</v>
      </c>
      <c r="AO9" s="72">
        <f t="shared" si="10"/>
        <v>93.132167307600668</v>
      </c>
      <c r="AP9" s="71">
        <f t="shared" si="11"/>
        <v>61619501.746105641</v>
      </c>
      <c r="AQ9" s="71">
        <f>AF9/Y9%</f>
        <v>126.77221581153786</v>
      </c>
      <c r="AR9" s="23"/>
      <c r="AS9" s="23"/>
      <c r="AT9" s="49"/>
    </row>
    <row r="10" spans="1:47" s="10" customFormat="1" ht="91.5" customHeight="1" x14ac:dyDescent="0.3">
      <c r="A10" s="9"/>
      <c r="B10" s="137" t="s">
        <v>26</v>
      </c>
      <c r="C10" s="137"/>
      <c r="D10" s="137"/>
      <c r="E10" s="137"/>
      <c r="F10" s="137"/>
      <c r="G10" s="137"/>
      <c r="H10" s="137"/>
      <c r="I10" s="137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97221124.980000004</v>
      </c>
      <c r="W10" s="12"/>
      <c r="X10" s="46"/>
      <c r="Y10" s="47">
        <f>V10/31.84%*53.08%</f>
        <v>162075920.66389444</v>
      </c>
      <c r="Z10" s="46">
        <v>188231000</v>
      </c>
      <c r="AA10" s="46">
        <v>345381986.62</v>
      </c>
      <c r="AB10" s="124">
        <v>225417632.09999999</v>
      </c>
      <c r="AC10" s="46">
        <v>18068649.68</v>
      </c>
      <c r="AD10" s="46">
        <v>4975207.5</v>
      </c>
      <c r="AE10" s="46">
        <v>197156358.00000003</v>
      </c>
      <c r="AF10" s="46">
        <f>AE10+AD10</f>
        <v>202131565.50000003</v>
      </c>
      <c r="AG10" s="46">
        <f t="shared" si="7"/>
        <v>-13093442.18</v>
      </c>
      <c r="AH10" s="44">
        <f t="shared" si="3"/>
        <v>13900565.50000003</v>
      </c>
      <c r="AI10" s="44">
        <f t="shared" si="4"/>
        <v>107.38484388862624</v>
      </c>
      <c r="AJ10" s="46">
        <f t="shared" si="8"/>
        <v>-143250421.11999997</v>
      </c>
      <c r="AK10" s="44">
        <f t="shared" ref="AK10:AK63" si="16">AF10/AA10%</f>
        <v>58.52406128012445</v>
      </c>
      <c r="AL10" s="46" t="e">
        <f>AF10-#REF!</f>
        <v>#REF!</v>
      </c>
      <c r="AM10" s="46" t="e">
        <f>IF(#REF!=0,0,AF10/#REF!*100)</f>
        <v>#REF!</v>
      </c>
      <c r="AN10" s="44">
        <f t="shared" si="9"/>
        <v>-23286066.599999964</v>
      </c>
      <c r="AO10" s="44">
        <f t="shared" si="10"/>
        <v>89.66981137053655</v>
      </c>
      <c r="AP10" s="46">
        <f t="shared" si="11"/>
        <v>40055644.836105585</v>
      </c>
      <c r="AQ10" s="44">
        <f t="shared" ref="AQ10:AQ19" si="17">AF10/Y10%</f>
        <v>124.71412451154366</v>
      </c>
      <c r="AR10" s="46">
        <f t="shared" ref="AR10:AR20" si="18">AF10-M10</f>
        <v>143296115.40445679</v>
      </c>
      <c r="AS10" s="46">
        <f t="shared" ref="AS10:AS20" si="19">IF(M10=0,0,AF10/M10*100)</f>
        <v>343.55403956586963</v>
      </c>
      <c r="AT10" s="48" t="e">
        <f>#REF!</f>
        <v>#REF!</v>
      </c>
      <c r="AU10" s="86"/>
    </row>
    <row r="11" spans="1:47" s="10" customFormat="1" ht="61.5" customHeight="1" x14ac:dyDescent="0.3">
      <c r="A11" s="9"/>
      <c r="B11" s="132" t="s">
        <v>25</v>
      </c>
      <c r="C11" s="132"/>
      <c r="D11" s="132"/>
      <c r="E11" s="132"/>
      <c r="F11" s="132"/>
      <c r="G11" s="132"/>
      <c r="H11" s="132"/>
      <c r="I11" s="132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18383785.309999999</v>
      </c>
      <c r="W11" s="12"/>
      <c r="X11" s="12"/>
      <c r="Y11" s="12">
        <f t="shared" ref="Y11:Y16" si="20">V11</f>
        <v>18383785.309999999</v>
      </c>
      <c r="Z11" s="12">
        <v>28603900</v>
      </c>
      <c r="AA11" s="12">
        <v>32294200</v>
      </c>
      <c r="AB11" s="125">
        <v>22182530</v>
      </c>
      <c r="AC11" s="12">
        <v>2775200.69</v>
      </c>
      <c r="AD11" s="12">
        <v>766092.34</v>
      </c>
      <c r="AE11" s="12">
        <v>19713349.110000003</v>
      </c>
      <c r="AF11" s="12">
        <f t="shared" ref="AF11:AF62" si="21">AE11+AD11</f>
        <v>20479441.450000003</v>
      </c>
      <c r="AG11" s="12">
        <f t="shared" si="7"/>
        <v>-2009108.35</v>
      </c>
      <c r="AH11" s="44">
        <f t="shared" si="3"/>
        <v>-8124458.549999997</v>
      </c>
      <c r="AI11" s="44">
        <f t="shared" si="4"/>
        <v>71.596675453347274</v>
      </c>
      <c r="AJ11" s="12">
        <f t="shared" si="8"/>
        <v>-11814758.549999997</v>
      </c>
      <c r="AK11" s="44">
        <f t="shared" si="16"/>
        <v>63.415230753509924</v>
      </c>
      <c r="AL11" s="12" t="e">
        <f>AF11-#REF!</f>
        <v>#REF!</v>
      </c>
      <c r="AM11" s="12" t="e">
        <f>IF(#REF!=0,0,AF11/#REF!*100)</f>
        <v>#REF!</v>
      </c>
      <c r="AN11" s="44">
        <f t="shared" si="9"/>
        <v>-1703088.549999997</v>
      </c>
      <c r="AO11" s="44">
        <f>AF11/AB11*100</f>
        <v>92.322388158609513</v>
      </c>
      <c r="AP11" s="12">
        <f t="shared" si="11"/>
        <v>2095656.1400000043</v>
      </c>
      <c r="AQ11" s="44">
        <f t="shared" si="17"/>
        <v>111.39948114418013</v>
      </c>
      <c r="AR11" s="12">
        <f t="shared" si="18"/>
        <v>12585516.340000004</v>
      </c>
      <c r="AS11" s="12">
        <f t="shared" si="19"/>
        <v>259.43293310518879</v>
      </c>
      <c r="AT11" s="34">
        <v>24865000</v>
      </c>
    </row>
    <row r="12" spans="1:47" s="10" customFormat="1" ht="45.75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2">J12</f>
        <v>0</v>
      </c>
      <c r="L12" s="12">
        <v>0</v>
      </c>
      <c r="M12" s="36">
        <f t="shared" ref="M12" si="23">L12</f>
        <v>0</v>
      </c>
      <c r="N12" s="12">
        <v>8810490.5399999991</v>
      </c>
      <c r="O12" s="12">
        <v>9529840.7599999998</v>
      </c>
      <c r="P12" s="12">
        <f t="shared" ref="P12:P15" si="24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9248434.0099999998</v>
      </c>
      <c r="W12" s="12"/>
      <c r="X12" s="12"/>
      <c r="Y12" s="35">
        <f>V12/15%*30%</f>
        <v>18496868.02</v>
      </c>
      <c r="Z12" s="12">
        <v>11972000</v>
      </c>
      <c r="AA12" s="12">
        <v>27969000</v>
      </c>
      <c r="AB12" s="125">
        <v>25220928</v>
      </c>
      <c r="AC12" s="12">
        <v>5287276.55</v>
      </c>
      <c r="AD12" s="12">
        <v>259028.28</v>
      </c>
      <c r="AE12" s="12">
        <v>25542845.500000004</v>
      </c>
      <c r="AF12" s="12">
        <f t="shared" si="21"/>
        <v>25801873.780000005</v>
      </c>
      <c r="AG12" s="12">
        <f t="shared" si="7"/>
        <v>-5028248.2699999996</v>
      </c>
      <c r="AH12" s="44">
        <f t="shared" si="3"/>
        <v>13829873.780000005</v>
      </c>
      <c r="AI12" s="44">
        <f t="shared" si="4"/>
        <v>215.51849131306383</v>
      </c>
      <c r="AJ12" s="12">
        <f t="shared" si="8"/>
        <v>-2167126.2199999951</v>
      </c>
      <c r="AK12" s="44">
        <f t="shared" si="16"/>
        <v>92.251685008402177</v>
      </c>
      <c r="AL12" s="12" t="e">
        <f>AF12-#REF!</f>
        <v>#REF!</v>
      </c>
      <c r="AM12" s="12" t="e">
        <f>IF(#REF!=0,0,AF12/#REF!*100)</f>
        <v>#REF!</v>
      </c>
      <c r="AN12" s="44">
        <f t="shared" si="9"/>
        <v>580945.78000000492</v>
      </c>
      <c r="AO12" s="44">
        <f t="shared" si="10"/>
        <v>102.30342745516741</v>
      </c>
      <c r="AP12" s="12">
        <f t="shared" si="11"/>
        <v>7305005.7600000054</v>
      </c>
      <c r="AQ12" s="44">
        <f t="shared" si="17"/>
        <v>139.49320367156949</v>
      </c>
      <c r="AR12" s="12">
        <f t="shared" si="18"/>
        <v>25801873.780000005</v>
      </c>
      <c r="AS12" s="12">
        <f t="shared" si="19"/>
        <v>0</v>
      </c>
      <c r="AT12" s="34">
        <f>AF12</f>
        <v>25801873.780000005</v>
      </c>
    </row>
    <row r="13" spans="1:47" s="10" customFormat="1" ht="70.5" customHeight="1" x14ac:dyDescent="0.3">
      <c r="A13" s="9"/>
      <c r="B13" s="132" t="s">
        <v>24</v>
      </c>
      <c r="C13" s="132"/>
      <c r="D13" s="132"/>
      <c r="E13" s="132"/>
      <c r="F13" s="132"/>
      <c r="G13" s="132"/>
      <c r="H13" s="132"/>
      <c r="I13" s="132"/>
      <c r="J13" s="12">
        <v>11880184.26</v>
      </c>
      <c r="K13" s="12">
        <f t="shared" si="22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4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5">T13</f>
        <v>-283271.29000000004</v>
      </c>
      <c r="V13" s="12">
        <v>-323088.65999999997</v>
      </c>
      <c r="W13" s="12"/>
      <c r="X13" s="12"/>
      <c r="Y13" s="12">
        <f t="shared" si="20"/>
        <v>-323088.65999999997</v>
      </c>
      <c r="Z13" s="12">
        <v>8000</v>
      </c>
      <c r="AA13" s="12">
        <v>0</v>
      </c>
      <c r="AB13" s="125">
        <v>0</v>
      </c>
      <c r="AC13" s="12">
        <v>51.5</v>
      </c>
      <c r="AD13" s="12">
        <v>0</v>
      </c>
      <c r="AE13" s="12">
        <v>5349.77</v>
      </c>
      <c r="AF13" s="12">
        <f t="shared" si="21"/>
        <v>5349.77</v>
      </c>
      <c r="AG13" s="12">
        <f t="shared" si="7"/>
        <v>-51.5</v>
      </c>
      <c r="AH13" s="44">
        <f t="shared" si="3"/>
        <v>-2650.2299999999996</v>
      </c>
      <c r="AI13" s="44">
        <f t="shared" si="4"/>
        <v>66.872125000000011</v>
      </c>
      <c r="AJ13" s="12">
        <f t="shared" si="8"/>
        <v>5349.77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9"/>
        <v>5349.77</v>
      </c>
      <c r="AO13" s="115">
        <v>0</v>
      </c>
      <c r="AP13" s="12">
        <f t="shared" si="11"/>
        <v>328438.43</v>
      </c>
      <c r="AQ13" s="115">
        <v>101.56</v>
      </c>
      <c r="AR13" s="12">
        <f t="shared" si="18"/>
        <v>-5409329.0900000008</v>
      </c>
      <c r="AS13" s="12">
        <f t="shared" si="19"/>
        <v>9.8801242665017455E-2</v>
      </c>
      <c r="AT13" s="34">
        <f>AF13</f>
        <v>5349.77</v>
      </c>
      <c r="AU13" s="86" t="s">
        <v>74</v>
      </c>
    </row>
    <row r="14" spans="1:47" s="10" customFormat="1" ht="42.75" customHeight="1" x14ac:dyDescent="0.3">
      <c r="A14" s="9"/>
      <c r="B14" s="132" t="s">
        <v>23</v>
      </c>
      <c r="C14" s="132"/>
      <c r="D14" s="132"/>
      <c r="E14" s="132"/>
      <c r="F14" s="132"/>
      <c r="G14" s="132"/>
      <c r="H14" s="132"/>
      <c r="I14" s="132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5628190.1299999999</v>
      </c>
      <c r="W14" s="12"/>
      <c r="X14" s="12"/>
      <c r="Y14" s="12">
        <f t="shared" si="20"/>
        <v>5628190.1299999999</v>
      </c>
      <c r="Z14" s="12">
        <v>5814000</v>
      </c>
      <c r="AA14" s="12">
        <v>10582000</v>
      </c>
      <c r="AB14" s="125">
        <v>8092000</v>
      </c>
      <c r="AC14" s="12">
        <v>925060.5</v>
      </c>
      <c r="AD14" s="12">
        <v>89726.43</v>
      </c>
      <c r="AE14" s="12">
        <v>11923015.000000002</v>
      </c>
      <c r="AF14" s="12">
        <f t="shared" si="21"/>
        <v>12012741.430000002</v>
      </c>
      <c r="AG14" s="12">
        <f t="shared" si="7"/>
        <v>-835334.07000000007</v>
      </c>
      <c r="AH14" s="44">
        <f t="shared" si="3"/>
        <v>6198741.4300000016</v>
      </c>
      <c r="AI14" s="44">
        <f t="shared" si="4"/>
        <v>206.61749965600279</v>
      </c>
      <c r="AJ14" s="12">
        <f t="shared" si="8"/>
        <v>1430741.4300000016</v>
      </c>
      <c r="AK14" s="44">
        <f t="shared" si="16"/>
        <v>113.52052003402005</v>
      </c>
      <c r="AL14" s="12" t="e">
        <f>AF14-#REF!</f>
        <v>#REF!</v>
      </c>
      <c r="AM14" s="12" t="e">
        <f>IF(#REF!=0,0,AF14/#REF!*100)</f>
        <v>#REF!</v>
      </c>
      <c r="AN14" s="44">
        <f t="shared" si="9"/>
        <v>3920741.4300000016</v>
      </c>
      <c r="AO14" s="44">
        <f t="shared" si="10"/>
        <v>148.45206908057344</v>
      </c>
      <c r="AP14" s="12">
        <f t="shared" si="11"/>
        <v>6384551.3000000017</v>
      </c>
      <c r="AQ14" s="44">
        <f t="shared" si="17"/>
        <v>213.43879919706981</v>
      </c>
      <c r="AR14" s="12">
        <f t="shared" si="18"/>
        <v>8445663.5700000022</v>
      </c>
      <c r="AS14" s="12">
        <f t="shared" si="19"/>
        <v>336.76700934136613</v>
      </c>
      <c r="AT14" s="34">
        <f>AF14</f>
        <v>12012741.430000002</v>
      </c>
      <c r="AU14" s="86"/>
    </row>
    <row r="15" spans="1:47" s="10" customFormat="1" ht="99" customHeight="1" x14ac:dyDescent="0.3">
      <c r="A15" s="9"/>
      <c r="B15" s="132" t="s">
        <v>22</v>
      </c>
      <c r="C15" s="132"/>
      <c r="D15" s="132"/>
      <c r="E15" s="132"/>
      <c r="F15" s="132"/>
      <c r="G15" s="132"/>
      <c r="H15" s="132"/>
      <c r="I15" s="132"/>
      <c r="J15" s="12">
        <v>199821.72</v>
      </c>
      <c r="K15" s="12">
        <f t="shared" ref="K15" si="26">J15</f>
        <v>199821.72</v>
      </c>
      <c r="L15" s="12">
        <v>141824.35999999999</v>
      </c>
      <c r="M15" s="12">
        <f t="shared" ref="M15" si="27">L15</f>
        <v>141824.35999999999</v>
      </c>
      <c r="N15" s="12">
        <v>4514274.29</v>
      </c>
      <c r="O15" s="12">
        <v>6011745.4100000001</v>
      </c>
      <c r="P15" s="12">
        <f t="shared" si="24"/>
        <v>6011745.4100000001</v>
      </c>
      <c r="Q15" s="12">
        <v>6011745.4100000001</v>
      </c>
      <c r="R15" s="12">
        <f t="shared" ref="R15" si="28">Q15</f>
        <v>6011745.4100000001</v>
      </c>
      <c r="S15" s="12">
        <v>2368000</v>
      </c>
      <c r="T15" s="12">
        <v>2659940.33</v>
      </c>
      <c r="U15" s="12">
        <f t="shared" si="25"/>
        <v>2659940.33</v>
      </c>
      <c r="V15" s="12">
        <v>3232528.81</v>
      </c>
      <c r="W15" s="12"/>
      <c r="X15" s="12"/>
      <c r="Y15" s="12">
        <f t="shared" si="20"/>
        <v>3232528.81</v>
      </c>
      <c r="Z15" s="12">
        <v>8168000</v>
      </c>
      <c r="AA15" s="12">
        <v>6694000</v>
      </c>
      <c r="AB15" s="125">
        <v>6694000</v>
      </c>
      <c r="AC15" s="12">
        <v>34748.160000000003</v>
      </c>
      <c r="AD15" s="12">
        <v>6251.65</v>
      </c>
      <c r="AE15" s="12">
        <v>7991211.9700000007</v>
      </c>
      <c r="AF15" s="12">
        <f t="shared" si="21"/>
        <v>7997463.620000001</v>
      </c>
      <c r="AG15" s="12">
        <f t="shared" si="7"/>
        <v>-28496.510000000002</v>
      </c>
      <c r="AH15" s="44">
        <f t="shared" si="3"/>
        <v>-170536.37999999896</v>
      </c>
      <c r="AI15" s="44">
        <f t="shared" si="4"/>
        <v>97.9121403036239</v>
      </c>
      <c r="AJ15" s="12">
        <f t="shared" si="8"/>
        <v>1303463.620000001</v>
      </c>
      <c r="AK15" s="44">
        <f t="shared" si="16"/>
        <v>119.47211861368392</v>
      </c>
      <c r="AL15" s="12" t="e">
        <f>AF15-#REF!</f>
        <v>#REF!</v>
      </c>
      <c r="AM15" s="12" t="e">
        <f>IF(#REF!=0,0,AF15/#REF!*100)</f>
        <v>#REF!</v>
      </c>
      <c r="AN15" s="44">
        <f t="shared" si="9"/>
        <v>1303463.620000001</v>
      </c>
      <c r="AO15" s="44">
        <f t="shared" si="10"/>
        <v>119.47211861368392</v>
      </c>
      <c r="AP15" s="12">
        <f t="shared" si="11"/>
        <v>4764934.8100000005</v>
      </c>
      <c r="AQ15" s="44">
        <f t="shared" si="17"/>
        <v>247.40579558825343</v>
      </c>
      <c r="AR15" s="12">
        <f t="shared" si="18"/>
        <v>7855639.2600000007</v>
      </c>
      <c r="AS15" s="12">
        <f t="shared" si="19"/>
        <v>5638.9915103442045</v>
      </c>
      <c r="AT15" s="34">
        <f>AF15</f>
        <v>7997463.620000001</v>
      </c>
      <c r="AU15" s="86"/>
    </row>
    <row r="16" spans="1:47" s="10" customFormat="1" ht="65.25" customHeight="1" x14ac:dyDescent="0.3">
      <c r="A16" s="9"/>
      <c r="B16" s="132" t="s">
        <v>21</v>
      </c>
      <c r="C16" s="132"/>
      <c r="D16" s="132"/>
      <c r="E16" s="132"/>
      <c r="F16" s="132"/>
      <c r="G16" s="132"/>
      <c r="H16" s="132"/>
      <c r="I16" s="132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341528.63</v>
      </c>
      <c r="W16" s="12"/>
      <c r="X16" s="12"/>
      <c r="Y16" s="12">
        <f t="shared" si="20"/>
        <v>341528.63</v>
      </c>
      <c r="Z16" s="12">
        <v>15443000</v>
      </c>
      <c r="AA16" s="12">
        <v>14460000</v>
      </c>
      <c r="AB16" s="125">
        <v>1769380</v>
      </c>
      <c r="AC16" s="12">
        <v>140774.79</v>
      </c>
      <c r="AD16" s="12">
        <v>30209.18</v>
      </c>
      <c r="AE16" s="12">
        <v>1934935.6300000006</v>
      </c>
      <c r="AF16" s="12">
        <f t="shared" si="21"/>
        <v>1965144.8100000005</v>
      </c>
      <c r="AG16" s="12">
        <f t="shared" si="7"/>
        <v>-110565.61000000002</v>
      </c>
      <c r="AH16" s="44">
        <f t="shared" si="3"/>
        <v>-13477855.189999999</v>
      </c>
      <c r="AI16" s="44">
        <f t="shared" si="4"/>
        <v>12.725149323318011</v>
      </c>
      <c r="AJ16" s="12">
        <f t="shared" si="8"/>
        <v>-12494855.189999999</v>
      </c>
      <c r="AK16" s="44">
        <f t="shared" si="16"/>
        <v>13.590213070539424</v>
      </c>
      <c r="AL16" s="12" t="e">
        <f>AF16-#REF!</f>
        <v>#REF!</v>
      </c>
      <c r="AM16" s="12" t="e">
        <f>IF(#REF!=0,0,AF16/#REF!*100)</f>
        <v>#REF!</v>
      </c>
      <c r="AN16" s="44">
        <f t="shared" si="9"/>
        <v>195764.81000000052</v>
      </c>
      <c r="AO16" s="44">
        <f t="shared" si="10"/>
        <v>111.06403429449867</v>
      </c>
      <c r="AP16" s="12">
        <f t="shared" si="11"/>
        <v>1623616.1800000006</v>
      </c>
      <c r="AQ16" s="44">
        <f t="shared" si="17"/>
        <v>575.39680055519807</v>
      </c>
      <c r="AR16" s="12">
        <f t="shared" si="18"/>
        <v>804465.92000000062</v>
      </c>
      <c r="AS16" s="12">
        <f t="shared" si="19"/>
        <v>169.30994669852234</v>
      </c>
      <c r="AT16" s="34">
        <v>11117000</v>
      </c>
      <c r="AU16" s="86"/>
    </row>
    <row r="17" spans="1:47" s="10" customFormat="1" ht="24" customHeight="1" x14ac:dyDescent="0.3">
      <c r="A17" s="9"/>
      <c r="B17" s="132" t="s">
        <v>19</v>
      </c>
      <c r="C17" s="132"/>
      <c r="D17" s="132"/>
      <c r="E17" s="132"/>
      <c r="F17" s="132"/>
      <c r="G17" s="132"/>
      <c r="H17" s="132"/>
      <c r="I17" s="132"/>
      <c r="J17" s="12">
        <f t="shared" ref="J17:AF17" si="29">J18+J19</f>
        <v>59077329.089999996</v>
      </c>
      <c r="K17" s="12">
        <f t="shared" si="29"/>
        <v>59077329.089999996</v>
      </c>
      <c r="L17" s="12">
        <f t="shared" si="29"/>
        <v>13651268.75</v>
      </c>
      <c r="M17" s="12">
        <f t="shared" si="29"/>
        <v>13651268.75</v>
      </c>
      <c r="N17" s="12">
        <f t="shared" si="29"/>
        <v>57000020</v>
      </c>
      <c r="O17" s="12">
        <f t="shared" si="29"/>
        <v>59153838.839999996</v>
      </c>
      <c r="P17" s="12">
        <f t="shared" si="29"/>
        <v>59153838.839999996</v>
      </c>
      <c r="Q17" s="12">
        <v>59153838.839999996</v>
      </c>
      <c r="R17" s="12">
        <f t="shared" si="29"/>
        <v>59153838.839999996</v>
      </c>
      <c r="S17" s="12">
        <f t="shared" si="29"/>
        <v>54189000</v>
      </c>
      <c r="T17" s="12">
        <f t="shared" si="29"/>
        <v>55922478.88000001</v>
      </c>
      <c r="U17" s="12">
        <f t="shared" ref="U17:X17" si="30">U18+U19</f>
        <v>55922478.88000001</v>
      </c>
      <c r="V17" s="12">
        <f t="shared" si="30"/>
        <v>18107987.280000001</v>
      </c>
      <c r="W17" s="12"/>
      <c r="X17" s="12">
        <f t="shared" si="30"/>
        <v>0</v>
      </c>
      <c r="Y17" s="12">
        <f>Y18+Y19</f>
        <v>18107987.280000001</v>
      </c>
      <c r="Z17" s="12">
        <f t="shared" ref="Z17:AD17" si="31">Z18+Z19</f>
        <v>57489000</v>
      </c>
      <c r="AA17" s="12">
        <f t="shared" si="31"/>
        <v>56779000</v>
      </c>
      <c r="AB17" s="125">
        <f t="shared" si="31"/>
        <v>19133542</v>
      </c>
      <c r="AC17" s="12">
        <f t="shared" si="31"/>
        <v>4936010.99</v>
      </c>
      <c r="AD17" s="12">
        <f t="shared" si="31"/>
        <v>57907.34</v>
      </c>
      <c r="AE17" s="12">
        <v>16599802.339999998</v>
      </c>
      <c r="AF17" s="12">
        <f t="shared" si="29"/>
        <v>16657709.679999998</v>
      </c>
      <c r="AG17" s="12">
        <f t="shared" si="7"/>
        <v>-4878103.6500000004</v>
      </c>
      <c r="AH17" s="44">
        <f t="shared" si="3"/>
        <v>-40831290.32</v>
      </c>
      <c r="AI17" s="44">
        <f t="shared" si="4"/>
        <v>28.97547301222842</v>
      </c>
      <c r="AJ17" s="12">
        <f t="shared" si="8"/>
        <v>-40121290.32</v>
      </c>
      <c r="AK17" s="44">
        <f t="shared" si="16"/>
        <v>29.337800383944764</v>
      </c>
      <c r="AL17" s="12" t="e">
        <f>AF17-#REF!</f>
        <v>#REF!</v>
      </c>
      <c r="AM17" s="12" t="e">
        <f>IF(#REF!=0,0,AF17/#REF!*100)</f>
        <v>#REF!</v>
      </c>
      <c r="AN17" s="44">
        <f t="shared" si="9"/>
        <v>-2475832.3200000022</v>
      </c>
      <c r="AO17" s="44">
        <f t="shared" si="10"/>
        <v>87.060250945695245</v>
      </c>
      <c r="AP17" s="12">
        <f t="shared" si="11"/>
        <v>-1450277.6000000034</v>
      </c>
      <c r="AQ17" s="44">
        <f t="shared" si="17"/>
        <v>91.990950857350043</v>
      </c>
      <c r="AR17" s="12">
        <f t="shared" si="18"/>
        <v>3006440.9299999978</v>
      </c>
      <c r="AS17" s="12">
        <f t="shared" si="19"/>
        <v>122.02316125378454</v>
      </c>
      <c r="AT17" s="34">
        <f>AT18+AT19</f>
        <v>16657709.679999998</v>
      </c>
      <c r="AU17" s="5"/>
    </row>
    <row r="18" spans="1:47" s="5" customFormat="1" ht="63.75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v>17446627.59</v>
      </c>
      <c r="W18" s="53"/>
      <c r="X18" s="53"/>
      <c r="Y18" s="13">
        <f>V18</f>
        <v>17446627.59</v>
      </c>
      <c r="Z18" s="66">
        <v>23363753.050000001</v>
      </c>
      <c r="AA18" s="66">
        <v>22995495</v>
      </c>
      <c r="AB18" s="126">
        <v>15496303</v>
      </c>
      <c r="AC18" s="13">
        <v>4768341.9400000004</v>
      </c>
      <c r="AD18" s="13">
        <v>-4340.87</v>
      </c>
      <c r="AE18" s="13">
        <v>13332054.989999998</v>
      </c>
      <c r="AF18" s="13">
        <f t="shared" si="21"/>
        <v>13327714.119999999</v>
      </c>
      <c r="AG18" s="13">
        <f t="shared" si="7"/>
        <v>-4772682.8100000005</v>
      </c>
      <c r="AH18" s="44">
        <f t="shared" si="3"/>
        <v>-10036038.930000002</v>
      </c>
      <c r="AI18" s="44">
        <f t="shared" si="4"/>
        <v>57.044405885808658</v>
      </c>
      <c r="AJ18" s="13">
        <f t="shared" si="8"/>
        <v>-9667780.8800000008</v>
      </c>
      <c r="AK18" s="44">
        <f t="shared" si="16"/>
        <v>57.957935326027986</v>
      </c>
      <c r="AL18" s="13" t="e">
        <f>AF18-#REF!</f>
        <v>#REF!</v>
      </c>
      <c r="AM18" s="13" t="e">
        <f>IF(#REF!=0,0,AF18/#REF!*100)</f>
        <v>#REF!</v>
      </c>
      <c r="AN18" s="44">
        <f t="shared" si="9"/>
        <v>-2168588.8800000008</v>
      </c>
      <c r="AO18" s="44">
        <f t="shared" si="10"/>
        <v>86.005766149513207</v>
      </c>
      <c r="AP18" s="13">
        <f t="shared" si="11"/>
        <v>-4118913.4700000007</v>
      </c>
      <c r="AQ18" s="44">
        <f t="shared" si="17"/>
        <v>76.391348707638684</v>
      </c>
      <c r="AR18" s="13">
        <f t="shared" si="18"/>
        <v>3242097.6099999994</v>
      </c>
      <c r="AS18" s="13">
        <f t="shared" si="19"/>
        <v>132.14575536146376</v>
      </c>
      <c r="AT18" s="31">
        <f>AF18</f>
        <v>13327714.119999999</v>
      </c>
      <c r="AU18" s="86"/>
    </row>
    <row r="19" spans="1:47" s="5" customFormat="1" ht="61.5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661359.68999999994</v>
      </c>
      <c r="W19" s="53"/>
      <c r="X19" s="53"/>
      <c r="Y19" s="13">
        <f>V19</f>
        <v>661359.68999999994</v>
      </c>
      <c r="Z19" s="66">
        <v>34125246.950000003</v>
      </c>
      <c r="AA19" s="66">
        <v>33783505</v>
      </c>
      <c r="AB19" s="126">
        <v>3637239</v>
      </c>
      <c r="AC19" s="13">
        <v>167669.04999999999</v>
      </c>
      <c r="AD19" s="13">
        <v>62248.21</v>
      </c>
      <c r="AE19" s="13">
        <v>3267747.3499999992</v>
      </c>
      <c r="AF19" s="13">
        <f t="shared" si="21"/>
        <v>3329995.5599999991</v>
      </c>
      <c r="AG19" s="13">
        <f t="shared" si="7"/>
        <v>-105420.84</v>
      </c>
      <c r="AH19" s="44">
        <f t="shared" si="3"/>
        <v>-30795251.390000004</v>
      </c>
      <c r="AI19" s="44">
        <f t="shared" si="4"/>
        <v>9.7581581310725092</v>
      </c>
      <c r="AJ19" s="13">
        <f t="shared" si="8"/>
        <v>-30453509.440000001</v>
      </c>
      <c r="AK19" s="44">
        <f t="shared" si="16"/>
        <v>9.8568681964763556</v>
      </c>
      <c r="AL19" s="13" t="e">
        <f>AF19-#REF!</f>
        <v>#REF!</v>
      </c>
      <c r="AM19" s="13" t="e">
        <f>IF(#REF!=0,0,AF19/#REF!*100)</f>
        <v>#REF!</v>
      </c>
      <c r="AN19" s="44">
        <f t="shared" si="9"/>
        <v>-307243.44000000088</v>
      </c>
      <c r="AO19" s="44">
        <f t="shared" si="10"/>
        <v>91.552838842869519</v>
      </c>
      <c r="AP19" s="13">
        <f t="shared" si="11"/>
        <v>2668635.8699999992</v>
      </c>
      <c r="AQ19" s="44">
        <f t="shared" si="17"/>
        <v>503.50748773333908</v>
      </c>
      <c r="AR19" s="13">
        <f t="shared" si="18"/>
        <v>-235656.6800000011</v>
      </c>
      <c r="AS19" s="13">
        <f t="shared" si="19"/>
        <v>93.390923619629234</v>
      </c>
      <c r="AT19" s="31">
        <f>AF19</f>
        <v>3329995.5599999991</v>
      </c>
      <c r="AU19" s="86"/>
    </row>
    <row r="20" spans="1:47" s="10" customFormat="1" ht="30.75" customHeight="1" x14ac:dyDescent="0.3">
      <c r="A20" s="9"/>
      <c r="B20" s="132" t="s">
        <v>18</v>
      </c>
      <c r="C20" s="132"/>
      <c r="D20" s="132"/>
      <c r="E20" s="132"/>
      <c r="F20" s="132"/>
      <c r="G20" s="132"/>
      <c r="H20" s="132"/>
      <c r="I20" s="132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4218408.2699999996</v>
      </c>
      <c r="W20" s="12"/>
      <c r="X20" s="12"/>
      <c r="Y20" s="12">
        <f>V20</f>
        <v>4218408.2699999996</v>
      </c>
      <c r="Z20" s="12">
        <v>7706000</v>
      </c>
      <c r="AA20" s="12">
        <v>7743000</v>
      </c>
      <c r="AB20" s="125">
        <v>4788431</v>
      </c>
      <c r="AC20" s="12">
        <v>224698.77</v>
      </c>
      <c r="AD20" s="12">
        <v>196825.88</v>
      </c>
      <c r="AE20" s="12">
        <v>4533514.28</v>
      </c>
      <c r="AF20" s="12">
        <f t="shared" si="21"/>
        <v>4730340.16</v>
      </c>
      <c r="AG20" s="12">
        <f t="shared" si="7"/>
        <v>-27872.889999999985</v>
      </c>
      <c r="AH20" s="44">
        <f t="shared" si="3"/>
        <v>-2975659.84</v>
      </c>
      <c r="AI20" s="44">
        <f t="shared" si="4"/>
        <v>61.38515650142746</v>
      </c>
      <c r="AJ20" s="12">
        <f t="shared" si="8"/>
        <v>-3012659.84</v>
      </c>
      <c r="AK20" s="44">
        <f t="shared" si="16"/>
        <v>61.091826940462354</v>
      </c>
      <c r="AL20" s="12" t="e">
        <f>AF20-#REF!</f>
        <v>#REF!</v>
      </c>
      <c r="AM20" s="12" t="e">
        <f>IF(#REF!=0,0,AF20/#REF!*100)</f>
        <v>#REF!</v>
      </c>
      <c r="AN20" s="44">
        <f t="shared" si="9"/>
        <v>-58090.839999999851</v>
      </c>
      <c r="AO20" s="44">
        <f t="shared" si="10"/>
        <v>98.786850222964475</v>
      </c>
      <c r="AP20" s="12">
        <f t="shared" si="11"/>
        <v>511931.8900000006</v>
      </c>
      <c r="AQ20" s="44">
        <f t="shared" ref="AQ20:AQ63" si="32">AF20/Y20%</f>
        <v>112.13566485825234</v>
      </c>
      <c r="AR20" s="12">
        <f t="shared" si="18"/>
        <v>1656320.7000000002</v>
      </c>
      <c r="AS20" s="12">
        <f t="shared" si="19"/>
        <v>153.88126918363753</v>
      </c>
      <c r="AT20" s="34">
        <f>AF20</f>
        <v>4730340.16</v>
      </c>
      <c r="AU20" s="86"/>
    </row>
    <row r="21" spans="1:47" s="10" customFormat="1" ht="62.25" customHeight="1" x14ac:dyDescent="0.3">
      <c r="A21" s="9"/>
      <c r="B21" s="148" t="s">
        <v>57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1"/>
        <v>0</v>
      </c>
      <c r="AG21" s="12">
        <v>0</v>
      </c>
      <c r="AH21" s="44">
        <f t="shared" si="3"/>
        <v>0</v>
      </c>
      <c r="AI21" s="44">
        <v>0</v>
      </c>
      <c r="AJ21" s="12">
        <f t="shared" si="8"/>
        <v>0</v>
      </c>
      <c r="AK21" s="44">
        <v>0</v>
      </c>
      <c r="AL21" s="12"/>
      <c r="AM21" s="12"/>
      <c r="AN21" s="44">
        <f t="shared" si="9"/>
        <v>0</v>
      </c>
      <c r="AO21" s="44">
        <v>0</v>
      </c>
      <c r="AP21" s="12">
        <f t="shared" si="11"/>
        <v>0</v>
      </c>
      <c r="AQ21" s="44">
        <v>0</v>
      </c>
      <c r="AR21" s="12"/>
      <c r="AS21" s="12"/>
      <c r="AT21" s="34"/>
    </row>
    <row r="22" spans="1:47" s="10" customFormat="1" ht="37.5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3">S23+S36+S37+S45+S48+S50</f>
        <v>86476358.480000004</v>
      </c>
      <c r="T22" s="71">
        <f t="shared" si="33"/>
        <v>93832615.929999977</v>
      </c>
      <c r="U22" s="71">
        <f>U23+U36+U37+U45+U48+U50</f>
        <v>91729067.069999978</v>
      </c>
      <c r="V22" s="71">
        <f>V23+V36+V37+V45+V48+V50</f>
        <v>53720586.029999994</v>
      </c>
      <c r="W22" s="71"/>
      <c r="X22" s="71">
        <f t="shared" ref="X22:AD22" si="34">X23+X36+X37+X45+X48+X50</f>
        <v>0</v>
      </c>
      <c r="Y22" s="71">
        <f t="shared" si="34"/>
        <v>53720586.029999994</v>
      </c>
      <c r="Z22" s="71">
        <f t="shared" si="34"/>
        <v>76980199.650000006</v>
      </c>
      <c r="AA22" s="71">
        <f t="shared" si="34"/>
        <v>85647440.349999994</v>
      </c>
      <c r="AB22" s="127">
        <f t="shared" si="34"/>
        <v>57129488.799999997</v>
      </c>
      <c r="AC22" s="71">
        <f t="shared" si="34"/>
        <v>1043931.22</v>
      </c>
      <c r="AD22" s="71">
        <f t="shared" si="34"/>
        <v>1463131.12</v>
      </c>
      <c r="AE22" s="71">
        <v>54029439.07</v>
      </c>
      <c r="AF22" s="71">
        <f>AF23+AF36+AF37+AF45+AF48+AF50</f>
        <v>55492570.189999998</v>
      </c>
      <c r="AG22" s="71">
        <f t="shared" ref="AG22" si="35">AD22-AC22</f>
        <v>419199.90000000014</v>
      </c>
      <c r="AH22" s="72">
        <f t="shared" si="3"/>
        <v>-21487629.460000008</v>
      </c>
      <c r="AI22" s="72">
        <f t="shared" ref="AI22" si="36">AF22/Z22*100</f>
        <v>72.086809909955846</v>
      </c>
      <c r="AJ22" s="71">
        <f t="shared" si="8"/>
        <v>-30154870.159999996</v>
      </c>
      <c r="AK22" s="72">
        <f t="shared" ref="AK22" si="37">AF22/AA22%</f>
        <v>64.791860636148016</v>
      </c>
      <c r="AL22" s="71" t="e">
        <f>AF22-#REF!</f>
        <v>#REF!</v>
      </c>
      <c r="AM22" s="71" t="e">
        <f>IF(#REF!=0,0,AF22/#REF!*100)</f>
        <v>#REF!</v>
      </c>
      <c r="AN22" s="72">
        <f t="shared" si="9"/>
        <v>-1636918.6099999994</v>
      </c>
      <c r="AO22" s="72">
        <f t="shared" ref="AO22" si="38">AF22/AB22*100</f>
        <v>97.134722112199256</v>
      </c>
      <c r="AP22" s="71">
        <f t="shared" si="11"/>
        <v>1771984.1600000039</v>
      </c>
      <c r="AQ22" s="72">
        <f t="shared" ref="AQ22" si="39">AF22/Y22%</f>
        <v>103.29851978720122</v>
      </c>
      <c r="AR22" s="12"/>
      <c r="AS22" s="12"/>
      <c r="AT22" s="34"/>
    </row>
    <row r="23" spans="1:47" s="10" customFormat="1" ht="83.25" customHeight="1" x14ac:dyDescent="0.3">
      <c r="A23" s="9"/>
      <c r="B23" s="132" t="s">
        <v>17</v>
      </c>
      <c r="C23" s="132"/>
      <c r="D23" s="132"/>
      <c r="E23" s="132"/>
      <c r="F23" s="132"/>
      <c r="G23" s="132"/>
      <c r="H23" s="132"/>
      <c r="I23" s="132"/>
      <c r="J23" s="60">
        <f t="shared" ref="J23:AF23" si="40">J24+J27+J29+J31</f>
        <v>39449619.330000006</v>
      </c>
      <c r="K23" s="60">
        <f t="shared" si="40"/>
        <v>39449619.330000006</v>
      </c>
      <c r="L23" s="60">
        <f t="shared" si="40"/>
        <v>10238465.989999998</v>
      </c>
      <c r="M23" s="60">
        <f t="shared" si="40"/>
        <v>10238465.989999998</v>
      </c>
      <c r="N23" s="12">
        <f t="shared" si="40"/>
        <v>42188190.339999996</v>
      </c>
      <c r="O23" s="12">
        <f t="shared" si="40"/>
        <v>49536681.379999995</v>
      </c>
      <c r="P23" s="12">
        <f t="shared" si="40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1">S24+S27+S29+S31</f>
        <v>42777461.119999997</v>
      </c>
      <c r="T23" s="12">
        <f t="shared" si="41"/>
        <v>47630236.639999993</v>
      </c>
      <c r="U23" s="12">
        <f>U24+U27+U29+U31</f>
        <v>46969616.779999994</v>
      </c>
      <c r="V23" s="12">
        <f t="shared" ref="V23:X23" si="42">V24+V27+V29+V31</f>
        <v>26400534.82</v>
      </c>
      <c r="W23" s="12"/>
      <c r="X23" s="12">
        <f t="shared" si="42"/>
        <v>0</v>
      </c>
      <c r="Y23" s="12">
        <f>Y24+Y27+Y29+Y31</f>
        <v>26400534.82</v>
      </c>
      <c r="Z23" s="12">
        <f t="shared" ref="Z23:AD23" si="43">Z24+Z27+Z29+Z31</f>
        <v>47029000</v>
      </c>
      <c r="AA23" s="12">
        <f t="shared" si="43"/>
        <v>49534190</v>
      </c>
      <c r="AB23" s="125">
        <f t="shared" si="43"/>
        <v>31516569.949999999</v>
      </c>
      <c r="AC23" s="12">
        <f t="shared" si="43"/>
        <v>808246.42</v>
      </c>
      <c r="AD23" s="12">
        <f t="shared" si="43"/>
        <v>555234.85</v>
      </c>
      <c r="AE23" s="12">
        <v>24875529.98</v>
      </c>
      <c r="AF23" s="12">
        <f t="shared" si="40"/>
        <v>25430764.829999998</v>
      </c>
      <c r="AG23" s="12">
        <f t="shared" si="7"/>
        <v>-253011.57000000007</v>
      </c>
      <c r="AH23" s="44">
        <f t="shared" si="3"/>
        <v>-21598235.170000002</v>
      </c>
      <c r="AI23" s="44">
        <f t="shared" si="4"/>
        <v>54.074645070063156</v>
      </c>
      <c r="AJ23" s="12">
        <f t="shared" si="8"/>
        <v>-24103425.170000002</v>
      </c>
      <c r="AK23" s="44">
        <f t="shared" si="16"/>
        <v>51.339821706986626</v>
      </c>
      <c r="AL23" s="12" t="e">
        <f>AF23-#REF!</f>
        <v>#REF!</v>
      </c>
      <c r="AM23" s="12" t="e">
        <f>IF(#REF!=0,0,AF23/#REF!*100)</f>
        <v>#REF!</v>
      </c>
      <c r="AN23" s="44">
        <f t="shared" si="9"/>
        <v>-6085805.120000001</v>
      </c>
      <c r="AO23" s="44">
        <f t="shared" si="10"/>
        <v>80.690141314061364</v>
      </c>
      <c r="AP23" s="12">
        <f t="shared" si="11"/>
        <v>-969769.99000000209</v>
      </c>
      <c r="AQ23" s="44">
        <f t="shared" si="32"/>
        <v>96.326703240627751</v>
      </c>
      <c r="AR23" s="12">
        <f>AF23-M23</f>
        <v>15192298.84</v>
      </c>
      <c r="AS23" s="12">
        <f>IF(M23=0,0,AF23/M23*100)</f>
        <v>248.38452220125998</v>
      </c>
      <c r="AT23" s="34">
        <f>AT24+AT27+AT29+AT31</f>
        <v>24737642.569999997</v>
      </c>
    </row>
    <row r="24" spans="1:47" s="5" customFormat="1" ht="114.75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4">U25+U26</f>
        <v>44043460.589999996</v>
      </c>
      <c r="V24" s="12">
        <f>V25+V26</f>
        <v>24912823.789999999</v>
      </c>
      <c r="W24" s="13"/>
      <c r="X24" s="13">
        <f t="shared" si="44"/>
        <v>0</v>
      </c>
      <c r="Y24" s="12">
        <f t="shared" si="44"/>
        <v>24912823.789999999</v>
      </c>
      <c r="Z24" s="12">
        <f t="shared" si="44"/>
        <v>46880510</v>
      </c>
      <c r="AA24" s="12">
        <f>AA25+AA26</f>
        <v>47982367.740000002</v>
      </c>
      <c r="AB24" s="125">
        <f>AB25+AB26</f>
        <v>30124800</v>
      </c>
      <c r="AC24" s="12">
        <f t="shared" ref="AC24" si="45">AC25+AC26</f>
        <v>775049.02</v>
      </c>
      <c r="AD24" s="12">
        <f t="shared" ref="AD24" si="46">AD25+AD26</f>
        <v>491998.74</v>
      </c>
      <c r="AE24" s="12">
        <v>23348064.57</v>
      </c>
      <c r="AF24" s="12">
        <f t="shared" ref="AF24" si="47">AF25+AF26</f>
        <v>23840063.309999999</v>
      </c>
      <c r="AG24" s="12">
        <f>AD24-AC24</f>
        <v>-283050.28000000003</v>
      </c>
      <c r="AH24" s="44">
        <f t="shared" si="3"/>
        <v>-23040446.690000001</v>
      </c>
      <c r="AI24" s="44">
        <f t="shared" si="4"/>
        <v>50.852824148030805</v>
      </c>
      <c r="AJ24" s="12">
        <f t="shared" si="8"/>
        <v>-24142304.430000003</v>
      </c>
      <c r="AK24" s="44">
        <f t="shared" si="16"/>
        <v>49.685049806589632</v>
      </c>
      <c r="AL24" s="12" t="e">
        <f>AF24-#REF!</f>
        <v>#REF!</v>
      </c>
      <c r="AM24" s="12" t="e">
        <f>IF(#REF!=0,0,AF24/#REF!*100)</f>
        <v>#REF!</v>
      </c>
      <c r="AN24" s="44">
        <f t="shared" si="9"/>
        <v>-6284736.6900000013</v>
      </c>
      <c r="AO24" s="44">
        <f t="shared" si="10"/>
        <v>79.137665013543653</v>
      </c>
      <c r="AP24" s="12">
        <f t="shared" si="11"/>
        <v>-1072760.4800000004</v>
      </c>
      <c r="AQ24" s="44">
        <f t="shared" si="32"/>
        <v>95.693942649606001</v>
      </c>
      <c r="AR24" s="12">
        <f>AF24-M24</f>
        <v>13971918.699999999</v>
      </c>
      <c r="AS24" s="12">
        <f>IF(M24=0,0,AF24/M24*100)</f>
        <v>241.58607572330658</v>
      </c>
      <c r="AT24" s="31">
        <f>AF24</f>
        <v>23840063.309999999</v>
      </c>
    </row>
    <row r="25" spans="1:47" s="5" customFormat="1" ht="37.5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17122869.190000001</v>
      </c>
      <c r="W25" s="13"/>
      <c r="X25" s="13"/>
      <c r="Y25" s="13">
        <f>V25</f>
        <v>17122869.190000001</v>
      </c>
      <c r="Z25" s="13">
        <v>34696660</v>
      </c>
      <c r="AA25" s="13">
        <v>36508280</v>
      </c>
      <c r="AB25" s="18">
        <v>21668800</v>
      </c>
      <c r="AC25" s="13">
        <v>336001.18</v>
      </c>
      <c r="AD25" s="13">
        <v>259440.18</v>
      </c>
      <c r="AE25" s="13">
        <v>15474848.360000001</v>
      </c>
      <c r="AF25" s="13">
        <f t="shared" si="21"/>
        <v>15734288.540000001</v>
      </c>
      <c r="AG25" s="13">
        <f>AD25-AC25</f>
        <v>-76561</v>
      </c>
      <c r="AH25" s="44">
        <f t="shared" si="3"/>
        <v>-18962371.460000001</v>
      </c>
      <c r="AI25" s="44">
        <f t="shared" si="4"/>
        <v>45.348135930086649</v>
      </c>
      <c r="AJ25" s="13">
        <f t="shared" si="8"/>
        <v>-20773991.460000001</v>
      </c>
      <c r="AK25" s="42">
        <f t="shared" si="16"/>
        <v>43.097863114887915</v>
      </c>
      <c r="AL25" s="13"/>
      <c r="AM25" s="13"/>
      <c r="AN25" s="42">
        <f t="shared" si="9"/>
        <v>-5934511.459999999</v>
      </c>
      <c r="AO25" s="42">
        <f t="shared" si="10"/>
        <v>72.612643708927123</v>
      </c>
      <c r="AP25" s="13">
        <f t="shared" si="11"/>
        <v>-1388580.6500000004</v>
      </c>
      <c r="AQ25" s="42">
        <f t="shared" si="32"/>
        <v>91.890490813239694</v>
      </c>
      <c r="AR25" s="12"/>
      <c r="AS25" s="12"/>
      <c r="AT25" s="31"/>
    </row>
    <row r="26" spans="1:47" s="5" customFormat="1" ht="81.75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v>7789954.5999999996</v>
      </c>
      <c r="W26" s="16"/>
      <c r="X26" s="16"/>
      <c r="Y26" s="13">
        <f>V26</f>
        <v>7789954.5999999996</v>
      </c>
      <c r="Z26" s="13">
        <v>12183850</v>
      </c>
      <c r="AA26" s="13">
        <f>6966987.74+4507100</f>
        <v>11474087.74</v>
      </c>
      <c r="AB26" s="18">
        <v>8456000</v>
      </c>
      <c r="AC26" s="13">
        <v>439047.84</v>
      </c>
      <c r="AD26" s="13">
        <v>232558.56</v>
      </c>
      <c r="AE26" s="13">
        <v>7873216.209999999</v>
      </c>
      <c r="AF26" s="13">
        <f t="shared" si="21"/>
        <v>8105774.7699999986</v>
      </c>
      <c r="AG26" s="13">
        <f>AD26-AC26</f>
        <v>-206489.28000000003</v>
      </c>
      <c r="AH26" s="44">
        <f t="shared" si="3"/>
        <v>-4078075.2300000014</v>
      </c>
      <c r="AI26" s="44">
        <f t="shared" si="4"/>
        <v>66.52884572610462</v>
      </c>
      <c r="AJ26" s="12">
        <f t="shared" si="8"/>
        <v>-3368312.9700000016</v>
      </c>
      <c r="AK26" s="42">
        <f t="shared" si="16"/>
        <v>70.644176283769625</v>
      </c>
      <c r="AL26" s="13"/>
      <c r="AM26" s="13"/>
      <c r="AN26" s="42">
        <f t="shared" si="9"/>
        <v>-350225.23000000138</v>
      </c>
      <c r="AO26" s="42">
        <f t="shared" si="10"/>
        <v>95.858263599810769</v>
      </c>
      <c r="AP26" s="13">
        <f t="shared" si="11"/>
        <v>315820.16999999899</v>
      </c>
      <c r="AQ26" s="42">
        <f t="shared" si="32"/>
        <v>104.0541978254918</v>
      </c>
      <c r="AR26" s="12"/>
      <c r="AS26" s="12"/>
      <c r="AT26" s="31"/>
      <c r="AU26" s="107" t="s">
        <v>95</v>
      </c>
    </row>
    <row r="27" spans="1:47" s="5" customFormat="1" ht="80.25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48">S28</f>
        <v>989651.62</v>
      </c>
      <c r="T27" s="12">
        <f t="shared" si="48"/>
        <v>1733380.9700000002</v>
      </c>
      <c r="U27" s="13">
        <f t="shared" ref="U27:AD27" si="49">U28</f>
        <v>1733380.9700000002</v>
      </c>
      <c r="V27" s="12">
        <f t="shared" si="49"/>
        <v>876196.93</v>
      </c>
      <c r="W27" s="13"/>
      <c r="X27" s="13"/>
      <c r="Y27" s="12">
        <f t="shared" si="49"/>
        <v>876196.93</v>
      </c>
      <c r="Z27" s="12">
        <f t="shared" si="49"/>
        <v>100490</v>
      </c>
      <c r="AA27" s="12">
        <f t="shared" si="49"/>
        <v>767832.26</v>
      </c>
      <c r="AB27" s="125">
        <f t="shared" si="49"/>
        <v>690167.64</v>
      </c>
      <c r="AC27" s="12">
        <f t="shared" si="49"/>
        <v>29197.4</v>
      </c>
      <c r="AD27" s="12">
        <f t="shared" si="49"/>
        <v>39284.17</v>
      </c>
      <c r="AE27" s="12">
        <v>827987.69000000018</v>
      </c>
      <c r="AF27" s="12">
        <f t="shared" ref="AF27" si="50">AF28</f>
        <v>867271.86000000022</v>
      </c>
      <c r="AG27" s="12">
        <f t="shared" si="7"/>
        <v>10086.769999999997</v>
      </c>
      <c r="AH27" s="44">
        <f t="shared" si="3"/>
        <v>766781.86000000022</v>
      </c>
      <c r="AI27" s="44">
        <f t="shared" si="4"/>
        <v>863.04294954721888</v>
      </c>
      <c r="AJ27" s="12">
        <f t="shared" si="8"/>
        <v>99439.60000000021</v>
      </c>
      <c r="AK27" s="44">
        <f t="shared" si="16"/>
        <v>112.95069316311354</v>
      </c>
      <c r="AL27" s="12" t="e">
        <f>AF27-#REF!</f>
        <v>#REF!</v>
      </c>
      <c r="AM27" s="12" t="e">
        <f>IF(#REF!=0,0,AF27/#REF!*100)</f>
        <v>#REF!</v>
      </c>
      <c r="AN27" s="44">
        <f t="shared" si="9"/>
        <v>177104.2200000002</v>
      </c>
      <c r="AO27" s="44">
        <f t="shared" si="10"/>
        <v>125.66104374293761</v>
      </c>
      <c r="AP27" s="12">
        <f t="shared" si="11"/>
        <v>-8925.0699999998324</v>
      </c>
      <c r="AQ27" s="44">
        <f t="shared" si="32"/>
        <v>98.981385383306488</v>
      </c>
      <c r="AR27" s="12">
        <f>AF27-M27</f>
        <v>533546.02000000025</v>
      </c>
      <c r="AS27" s="12">
        <f>IF(M27=0,0,AF27/M27*100)</f>
        <v>259.87554934313749</v>
      </c>
      <c r="AT27" s="31">
        <f>AF27</f>
        <v>867271.86000000022</v>
      </c>
    </row>
    <row r="28" spans="1:47" s="5" customFormat="1" ht="105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v>876196.93</v>
      </c>
      <c r="W28" s="16"/>
      <c r="X28" s="16"/>
      <c r="Y28" s="16">
        <f>V28</f>
        <v>876196.93</v>
      </c>
      <c r="Z28" s="16">
        <v>100490</v>
      </c>
      <c r="AA28" s="16">
        <f>164952.06+602880.2</f>
        <v>767832.26</v>
      </c>
      <c r="AB28" s="126">
        <v>690167.64</v>
      </c>
      <c r="AC28" s="13">
        <v>29197.4</v>
      </c>
      <c r="AD28" s="13">
        <v>39284.17</v>
      </c>
      <c r="AE28" s="13">
        <v>827987.69000000018</v>
      </c>
      <c r="AF28" s="13">
        <f t="shared" si="21"/>
        <v>867271.86000000022</v>
      </c>
      <c r="AG28" s="13">
        <f>AD28-AC28</f>
        <v>10086.769999999997</v>
      </c>
      <c r="AH28" s="44">
        <f t="shared" si="3"/>
        <v>766781.86000000022</v>
      </c>
      <c r="AI28" s="44">
        <f t="shared" si="4"/>
        <v>863.04294954721888</v>
      </c>
      <c r="AJ28" s="13">
        <f t="shared" si="8"/>
        <v>99439.60000000021</v>
      </c>
      <c r="AK28" s="42">
        <f t="shared" si="16"/>
        <v>112.95069316311354</v>
      </c>
      <c r="AL28" s="16"/>
      <c r="AM28" s="16"/>
      <c r="AN28" s="42">
        <f t="shared" si="9"/>
        <v>177104.2200000002</v>
      </c>
      <c r="AO28" s="42">
        <f t="shared" si="10"/>
        <v>125.66104374293761</v>
      </c>
      <c r="AP28" s="13">
        <f t="shared" si="11"/>
        <v>-8925.0699999998324</v>
      </c>
      <c r="AQ28" s="42">
        <f t="shared" si="32"/>
        <v>98.981385383306488</v>
      </c>
      <c r="AR28" s="12"/>
      <c r="AS28" s="12"/>
      <c r="AT28" s="31"/>
      <c r="AU28" s="102"/>
    </row>
    <row r="29" spans="1:47" s="10" customFormat="1" ht="48" customHeight="1" x14ac:dyDescent="0.3">
      <c r="A29" s="9"/>
      <c r="B29" s="133" t="s">
        <v>16</v>
      </c>
      <c r="C29" s="133"/>
      <c r="D29" s="133"/>
      <c r="E29" s="133"/>
      <c r="F29" s="133"/>
      <c r="G29" s="133"/>
      <c r="H29" s="133"/>
      <c r="I29" s="133"/>
      <c r="J29" s="12">
        <f t="shared" ref="J29:AD29" si="51">J30</f>
        <v>13500</v>
      </c>
      <c r="K29" s="12">
        <f t="shared" si="51"/>
        <v>13500</v>
      </c>
      <c r="L29" s="12">
        <f t="shared" si="51"/>
        <v>13500</v>
      </c>
      <c r="M29" s="12">
        <f t="shared" si="51"/>
        <v>13500</v>
      </c>
      <c r="N29" s="12">
        <f t="shared" si="51"/>
        <v>145882.54999999999</v>
      </c>
      <c r="O29" s="12">
        <f t="shared" si="51"/>
        <v>145882.54999999999</v>
      </c>
      <c r="P29" s="12">
        <f t="shared" si="51"/>
        <v>145882.54999999999</v>
      </c>
      <c r="Q29" s="12">
        <v>145882.54999999999</v>
      </c>
      <c r="R29" s="12">
        <f t="shared" si="51"/>
        <v>145882.54999999999</v>
      </c>
      <c r="S29" s="12">
        <f t="shared" si="51"/>
        <v>65907.5</v>
      </c>
      <c r="T29" s="12">
        <f t="shared" si="51"/>
        <v>65907.5</v>
      </c>
      <c r="U29" s="12">
        <f>U30</f>
        <v>65907.5</v>
      </c>
      <c r="V29" s="12">
        <f t="shared" ref="V29:X29" si="52">V30</f>
        <v>65907.5</v>
      </c>
      <c r="W29" s="12"/>
      <c r="X29" s="12">
        <f t="shared" si="52"/>
        <v>0</v>
      </c>
      <c r="Y29" s="12">
        <f>Y30</f>
        <v>65907.5</v>
      </c>
      <c r="Z29" s="12">
        <f t="shared" si="51"/>
        <v>0</v>
      </c>
      <c r="AA29" s="12">
        <f t="shared" si="51"/>
        <v>60000</v>
      </c>
      <c r="AB29" s="125">
        <f t="shared" si="51"/>
        <v>60000</v>
      </c>
      <c r="AC29" s="12">
        <f t="shared" si="51"/>
        <v>0</v>
      </c>
      <c r="AD29" s="12">
        <f t="shared" si="51"/>
        <v>0</v>
      </c>
      <c r="AE29" s="12">
        <v>30307.4</v>
      </c>
      <c r="AF29" s="12">
        <f>AF30</f>
        <v>30307.4</v>
      </c>
      <c r="AG29" s="12">
        <f t="shared" si="7"/>
        <v>0</v>
      </c>
      <c r="AH29" s="44">
        <f t="shared" si="3"/>
        <v>30307.4</v>
      </c>
      <c r="AI29" s="44">
        <v>0</v>
      </c>
      <c r="AJ29" s="12">
        <f t="shared" si="8"/>
        <v>-29692.6</v>
      </c>
      <c r="AK29" s="44">
        <f t="shared" si="16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9"/>
        <v>-29692.6</v>
      </c>
      <c r="AO29" s="44">
        <f t="shared" si="10"/>
        <v>50.512333333333338</v>
      </c>
      <c r="AP29" s="12">
        <f t="shared" si="11"/>
        <v>-35600.1</v>
      </c>
      <c r="AQ29" s="44">
        <f t="shared" si="32"/>
        <v>45.984751356067214</v>
      </c>
      <c r="AR29" s="12">
        <f t="shared" ref="AR29:AR38" si="53">AF29-M29</f>
        <v>16807.400000000001</v>
      </c>
      <c r="AS29" s="12">
        <f t="shared" ref="AS29:AS38" si="54">IF(M29=0,0,AF29/M29*100)</f>
        <v>224.49925925925928</v>
      </c>
      <c r="AT29" s="34">
        <f t="shared" ref="AT29" si="55">AT30</f>
        <v>30307.4</v>
      </c>
    </row>
    <row r="30" spans="1:47" s="5" customFormat="1" ht="84.75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1"/>
        <v>30307.4</v>
      </c>
      <c r="AG30" s="13">
        <f t="shared" si="7"/>
        <v>0</v>
      </c>
      <c r="AH30" s="44">
        <f t="shared" si="3"/>
        <v>30307.4</v>
      </c>
      <c r="AI30" s="44">
        <v>0</v>
      </c>
      <c r="AJ30" s="13">
        <f t="shared" si="8"/>
        <v>-29692.6</v>
      </c>
      <c r="AK30" s="42">
        <f t="shared" si="16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9"/>
        <v>-29692.6</v>
      </c>
      <c r="AO30" s="42">
        <f t="shared" si="10"/>
        <v>50.512333333333338</v>
      </c>
      <c r="AP30" s="13">
        <f t="shared" si="11"/>
        <v>-35600.1</v>
      </c>
      <c r="AQ30" s="42">
        <f t="shared" si="32"/>
        <v>45.984751356067214</v>
      </c>
      <c r="AR30" s="12">
        <f t="shared" si="53"/>
        <v>16807.400000000001</v>
      </c>
      <c r="AS30" s="12">
        <f t="shared" si="54"/>
        <v>224.49925925925928</v>
      </c>
      <c r="AT30" s="31">
        <f>AF30</f>
        <v>30307.4</v>
      </c>
    </row>
    <row r="31" spans="1:47" s="10" customFormat="1" ht="58.5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56">J35</f>
        <v>59624.2</v>
      </c>
      <c r="K31" s="12">
        <f t="shared" si="56"/>
        <v>59624.2</v>
      </c>
      <c r="L31" s="12">
        <f t="shared" si="56"/>
        <v>23095.54</v>
      </c>
      <c r="M31" s="12">
        <f t="shared" si="56"/>
        <v>23095.54</v>
      </c>
      <c r="N31" s="12">
        <f t="shared" si="56"/>
        <v>33317.79</v>
      </c>
      <c r="O31" s="12">
        <f t="shared" si="56"/>
        <v>67233.87</v>
      </c>
      <c r="P31" s="12">
        <f t="shared" si="56"/>
        <v>67233.87</v>
      </c>
      <c r="Q31" s="12">
        <v>67233.87</v>
      </c>
      <c r="R31" s="12">
        <f t="shared" si="56"/>
        <v>67233.87</v>
      </c>
      <c r="S31" s="12">
        <f t="shared" ref="S31:T31" si="57">S32+S33+S34+S35</f>
        <v>1027310</v>
      </c>
      <c r="T31" s="12">
        <f t="shared" si="57"/>
        <v>1126867.72</v>
      </c>
      <c r="U31" s="12">
        <f>U32+U33+U34+U35</f>
        <v>1126867.72</v>
      </c>
      <c r="V31" s="12">
        <f t="shared" ref="V31:Y31" si="58">V32+V33+V34+V35</f>
        <v>545606.6</v>
      </c>
      <c r="W31" s="12">
        <f t="shared" si="58"/>
        <v>0</v>
      </c>
      <c r="X31" s="12">
        <f t="shared" si="58"/>
        <v>0</v>
      </c>
      <c r="Y31" s="12">
        <f t="shared" si="58"/>
        <v>545606.6</v>
      </c>
      <c r="Z31" s="12">
        <f>Z32+Z33+Z34+Z35</f>
        <v>48000</v>
      </c>
      <c r="AA31" s="12">
        <f t="shared" ref="AA31" si="59">AA32+AA33+AA34+AA35</f>
        <v>723990</v>
      </c>
      <c r="AB31" s="125">
        <f t="shared" ref="AB31:AC31" si="60">AB32+AB33+AB34+AB35</f>
        <v>641602.31000000006</v>
      </c>
      <c r="AC31" s="12">
        <f t="shared" si="60"/>
        <v>4000</v>
      </c>
      <c r="AD31" s="12">
        <f t="shared" ref="AD31" si="61">AD32+AD33+AD34+AD35</f>
        <v>23951.94</v>
      </c>
      <c r="AE31" s="12">
        <v>669170.32000000007</v>
      </c>
      <c r="AF31" s="12">
        <f t="shared" ref="AF31" si="62">AF32+AF33+AF34+AF35</f>
        <v>693122.26000000013</v>
      </c>
      <c r="AG31" s="12">
        <f t="shared" si="7"/>
        <v>19951.939999999999</v>
      </c>
      <c r="AH31" s="44">
        <f t="shared" si="3"/>
        <v>645122.26000000013</v>
      </c>
      <c r="AI31" s="44">
        <v>0</v>
      </c>
      <c r="AJ31" s="12">
        <f t="shared" si="8"/>
        <v>-30867.739999999874</v>
      </c>
      <c r="AK31" s="44">
        <f t="shared" si="16"/>
        <v>95.736441111065091</v>
      </c>
      <c r="AL31" s="12" t="e">
        <f>AF31-#REF!</f>
        <v>#REF!</v>
      </c>
      <c r="AM31" s="12" t="e">
        <f>IF(#REF!=0,0,AF31/#REF!*100)</f>
        <v>#REF!</v>
      </c>
      <c r="AN31" s="44">
        <f t="shared" si="9"/>
        <v>51519.95000000007</v>
      </c>
      <c r="AO31" s="44">
        <f t="shared" si="10"/>
        <v>108.02988848341273</v>
      </c>
      <c r="AP31" s="12">
        <f t="shared" si="11"/>
        <v>147515.66000000015</v>
      </c>
      <c r="AQ31" s="44">
        <f t="shared" si="32"/>
        <v>127.03700065211824</v>
      </c>
      <c r="AR31" s="12">
        <f t="shared" si="53"/>
        <v>670026.72000000009</v>
      </c>
      <c r="AS31" s="12">
        <f t="shared" si="54"/>
        <v>3001.1086989089672</v>
      </c>
      <c r="AT31" s="34">
        <f t="shared" ref="AT31" si="63">AT35</f>
        <v>0</v>
      </c>
    </row>
    <row r="32" spans="1:47" s="10" customFormat="1" ht="58.5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463829.45</v>
      </c>
      <c r="W32" s="13"/>
      <c r="X32" s="13"/>
      <c r="Y32" s="13">
        <f>V32</f>
        <v>463829.45</v>
      </c>
      <c r="Z32" s="13"/>
      <c r="AA32" s="13">
        <v>600940</v>
      </c>
      <c r="AB32" s="18">
        <v>542969.03</v>
      </c>
      <c r="AC32" s="113">
        <v>4000</v>
      </c>
      <c r="AD32" s="113">
        <v>23679.67</v>
      </c>
      <c r="AE32" s="13">
        <v>548858.93000000005</v>
      </c>
      <c r="AF32" s="13">
        <f t="shared" si="21"/>
        <v>572538.60000000009</v>
      </c>
      <c r="AG32" s="13">
        <f t="shared" si="7"/>
        <v>19679.669999999998</v>
      </c>
      <c r="AH32" s="44"/>
      <c r="AI32" s="44"/>
      <c r="AJ32" s="13">
        <f t="shared" si="8"/>
        <v>-28401.399999999907</v>
      </c>
      <c r="AK32" s="42">
        <f t="shared" si="16"/>
        <v>95.273837654341548</v>
      </c>
      <c r="AL32" s="12"/>
      <c r="AM32" s="12"/>
      <c r="AN32" s="42">
        <f t="shared" si="9"/>
        <v>29569.570000000065</v>
      </c>
      <c r="AO32" s="42">
        <f t="shared" si="10"/>
        <v>105.44590360890382</v>
      </c>
      <c r="AP32" s="13">
        <f t="shared" si="11"/>
        <v>108709.15000000008</v>
      </c>
      <c r="AQ32" s="42">
        <f t="shared" si="32"/>
        <v>123.43731084776961</v>
      </c>
      <c r="AR32" s="12"/>
      <c r="AS32" s="12"/>
      <c r="AT32" s="34"/>
    </row>
    <row r="33" spans="1:47" s="10" customFormat="1" ht="58.5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14465.55</v>
      </c>
      <c r="W33" s="13"/>
      <c r="X33" s="13"/>
      <c r="Y33" s="13">
        <f t="shared" ref="Y33:Y35" si="64">V33</f>
        <v>14465.55</v>
      </c>
      <c r="Z33" s="13"/>
      <c r="AA33" s="13">
        <v>61000</v>
      </c>
      <c r="AB33" s="18">
        <v>61000</v>
      </c>
      <c r="AC33" s="113">
        <v>0</v>
      </c>
      <c r="AD33" s="113">
        <v>272.27</v>
      </c>
      <c r="AE33" s="13">
        <v>76693.390000000014</v>
      </c>
      <c r="AF33" s="13">
        <f t="shared" si="21"/>
        <v>76965.660000000018</v>
      </c>
      <c r="AG33" s="13">
        <f t="shared" si="7"/>
        <v>272.27</v>
      </c>
      <c r="AH33" s="44"/>
      <c r="AI33" s="44"/>
      <c r="AJ33" s="13">
        <f t="shared" si="8"/>
        <v>15965.660000000018</v>
      </c>
      <c r="AK33" s="42">
        <f t="shared" si="16"/>
        <v>126.17321311475413</v>
      </c>
      <c r="AL33" s="12"/>
      <c r="AM33" s="12"/>
      <c r="AN33" s="42">
        <f t="shared" si="9"/>
        <v>15965.660000000018</v>
      </c>
      <c r="AO33" s="42">
        <f t="shared" si="10"/>
        <v>126.17321311475413</v>
      </c>
      <c r="AP33" s="13">
        <f t="shared" si="11"/>
        <v>62500.110000000015</v>
      </c>
      <c r="AQ33" s="42">
        <f t="shared" si="32"/>
        <v>532.06176052759849</v>
      </c>
      <c r="AR33" s="12"/>
      <c r="AS33" s="12"/>
      <c r="AT33" s="34"/>
    </row>
    <row r="34" spans="1:47" s="10" customFormat="1" ht="58.5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4"/>
        <v>21702.84</v>
      </c>
      <c r="Z34" s="13"/>
      <c r="AA34" s="13">
        <v>62050</v>
      </c>
      <c r="AB34" s="18">
        <v>37633.279999999999</v>
      </c>
      <c r="AC34" s="113">
        <v>0</v>
      </c>
      <c r="AD34" s="113">
        <v>0</v>
      </c>
      <c r="AE34" s="13">
        <v>43618</v>
      </c>
      <c r="AF34" s="13">
        <f t="shared" si="21"/>
        <v>43618</v>
      </c>
      <c r="AG34" s="13">
        <f t="shared" si="7"/>
        <v>0</v>
      </c>
      <c r="AH34" s="44"/>
      <c r="AI34" s="44"/>
      <c r="AJ34" s="13">
        <f t="shared" si="8"/>
        <v>-18432</v>
      </c>
      <c r="AK34" s="116">
        <v>0</v>
      </c>
      <c r="AL34" s="12"/>
      <c r="AM34" s="12"/>
      <c r="AN34" s="42">
        <f t="shared" si="9"/>
        <v>5984.7200000000012</v>
      </c>
      <c r="AO34" s="42">
        <f t="shared" si="10"/>
        <v>115.90273290024149</v>
      </c>
      <c r="AP34" s="13">
        <f t="shared" si="11"/>
        <v>21915.16</v>
      </c>
      <c r="AQ34" s="42">
        <f t="shared" si="32"/>
        <v>200.9783051434743</v>
      </c>
      <c r="AR34" s="12"/>
      <c r="AS34" s="12"/>
      <c r="AT34" s="34"/>
    </row>
    <row r="35" spans="1:47" s="5" customFormat="1" ht="58.5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45608.76</v>
      </c>
      <c r="W35" s="13"/>
      <c r="X35" s="13"/>
      <c r="Y35" s="13">
        <f t="shared" si="64"/>
        <v>45608.76</v>
      </c>
      <c r="Z35" s="13">
        <v>48000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1"/>
        <v>0</v>
      </c>
      <c r="AG35" s="13">
        <f t="shared" si="7"/>
        <v>0</v>
      </c>
      <c r="AH35" s="44">
        <f t="shared" si="3"/>
        <v>-48000</v>
      </c>
      <c r="AI35" s="44">
        <v>0</v>
      </c>
      <c r="AJ35" s="13">
        <f t="shared" si="8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9"/>
        <v>0</v>
      </c>
      <c r="AO35" s="116">
        <v>0</v>
      </c>
      <c r="AP35" s="13">
        <f t="shared" si="11"/>
        <v>-45608.76</v>
      </c>
      <c r="AQ35" s="42">
        <f t="shared" si="32"/>
        <v>0</v>
      </c>
      <c r="AR35" s="12">
        <f t="shared" si="53"/>
        <v>-23095.54</v>
      </c>
      <c r="AS35" s="12">
        <f t="shared" si="54"/>
        <v>0</v>
      </c>
      <c r="AT35" s="31">
        <f>AF35</f>
        <v>0</v>
      </c>
    </row>
    <row r="36" spans="1:47" s="10" customFormat="1" ht="40.5" customHeight="1" x14ac:dyDescent="0.3">
      <c r="A36" s="9"/>
      <c r="B36" s="132" t="s">
        <v>14</v>
      </c>
      <c r="C36" s="132"/>
      <c r="D36" s="132"/>
      <c r="E36" s="132"/>
      <c r="F36" s="132"/>
      <c r="G36" s="132"/>
      <c r="H36" s="132"/>
      <c r="I36" s="132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447782.05</v>
      </c>
      <c r="W36" s="12"/>
      <c r="X36" s="12"/>
      <c r="Y36" s="12">
        <f>V36</f>
        <v>447782.05</v>
      </c>
      <c r="Z36" s="12">
        <v>763440</v>
      </c>
      <c r="AA36" s="12">
        <v>447000</v>
      </c>
      <c r="AB36" s="125">
        <v>447000</v>
      </c>
      <c r="AC36" s="12">
        <v>0.1</v>
      </c>
      <c r="AD36" s="12">
        <v>36761.919999999998</v>
      </c>
      <c r="AE36" s="12">
        <v>1027901.2499999999</v>
      </c>
      <c r="AF36" s="12">
        <f t="shared" si="21"/>
        <v>1064663.17</v>
      </c>
      <c r="AG36" s="12">
        <f t="shared" si="7"/>
        <v>36761.82</v>
      </c>
      <c r="AH36" s="44">
        <f t="shared" si="3"/>
        <v>301223.16999999993</v>
      </c>
      <c r="AI36" s="44">
        <v>0</v>
      </c>
      <c r="AJ36" s="12">
        <f t="shared" si="8"/>
        <v>617663.16999999993</v>
      </c>
      <c r="AK36" s="44">
        <f t="shared" si="16"/>
        <v>238.17968008948543</v>
      </c>
      <c r="AL36" s="12" t="e">
        <f>AF36-#REF!</f>
        <v>#REF!</v>
      </c>
      <c r="AM36" s="12" t="e">
        <f>IF(#REF!=0,0,AF36/#REF!*100)</f>
        <v>#REF!</v>
      </c>
      <c r="AN36" s="44">
        <f t="shared" si="9"/>
        <v>617663.16999999993</v>
      </c>
      <c r="AO36" s="44">
        <f t="shared" si="10"/>
        <v>238.17968008948546</v>
      </c>
      <c r="AP36" s="12">
        <f t="shared" si="11"/>
        <v>616881.11999999988</v>
      </c>
      <c r="AQ36" s="44">
        <f t="shared" si="32"/>
        <v>237.76369999646033</v>
      </c>
      <c r="AR36" s="12">
        <f t="shared" si="53"/>
        <v>1122437.53</v>
      </c>
      <c r="AS36" s="12">
        <f t="shared" si="54"/>
        <v>-1842.795264196782</v>
      </c>
      <c r="AT36" s="34">
        <v>745000</v>
      </c>
    </row>
    <row r="37" spans="1:47" s="10" customFormat="1" ht="57.75" customHeight="1" x14ac:dyDescent="0.3">
      <c r="A37" s="9"/>
      <c r="B37" s="132" t="s">
        <v>13</v>
      </c>
      <c r="C37" s="132"/>
      <c r="D37" s="132"/>
      <c r="E37" s="132"/>
      <c r="F37" s="132"/>
      <c r="G37" s="132"/>
      <c r="H37" s="132"/>
      <c r="I37" s="132"/>
      <c r="J37" s="12">
        <f t="shared" ref="J37:N37" si="65">J38+J44</f>
        <v>26875602.490000002</v>
      </c>
      <c r="K37" s="12">
        <f t="shared" si="65"/>
        <v>26875602.490000002</v>
      </c>
      <c r="L37" s="12">
        <f t="shared" si="65"/>
        <v>10496131.460000001</v>
      </c>
      <c r="M37" s="12">
        <f t="shared" si="65"/>
        <v>10496131.460000001</v>
      </c>
      <c r="N37" s="12">
        <f t="shared" si="65"/>
        <v>29133952.98</v>
      </c>
      <c r="O37" s="12">
        <f>O38+O44</f>
        <v>30359839.810000002</v>
      </c>
      <c r="P37" s="12">
        <f t="shared" ref="P37" si="66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7">U38+U44</f>
        <v>34239492.269999996</v>
      </c>
      <c r="V37" s="12">
        <f t="shared" si="67"/>
        <v>20042851.419999998</v>
      </c>
      <c r="W37" s="12"/>
      <c r="X37" s="12">
        <f t="shared" si="67"/>
        <v>0</v>
      </c>
      <c r="Y37" s="12">
        <f t="shared" si="67"/>
        <v>20042851.419999998</v>
      </c>
      <c r="Z37" s="12">
        <f>Z38+Z44</f>
        <v>25090600</v>
      </c>
      <c r="AA37" s="12">
        <f>AA38+AA44</f>
        <v>29480458</v>
      </c>
      <c r="AB37" s="125">
        <f>AB38+AB44</f>
        <v>19453492.32</v>
      </c>
      <c r="AC37" s="12">
        <f t="shared" ref="AC37" si="68">AC38+AC44</f>
        <v>140956.79999999999</v>
      </c>
      <c r="AD37" s="12">
        <f t="shared" ref="AD37" si="69">AD38+AD44</f>
        <v>732275.51</v>
      </c>
      <c r="AE37" s="12">
        <v>20442365.929999996</v>
      </c>
      <c r="AF37" s="12">
        <f>AF38+AF44</f>
        <v>21174641.439999994</v>
      </c>
      <c r="AG37" s="12">
        <f t="shared" si="7"/>
        <v>591318.71</v>
      </c>
      <c r="AH37" s="44">
        <f t="shared" si="3"/>
        <v>-3915958.5600000061</v>
      </c>
      <c r="AI37" s="44">
        <v>0</v>
      </c>
      <c r="AJ37" s="12">
        <f t="shared" si="8"/>
        <v>-8305816.5600000061</v>
      </c>
      <c r="AK37" s="44">
        <f t="shared" si="16"/>
        <v>71.82602604070803</v>
      </c>
      <c r="AL37" s="12" t="e">
        <f>AF37-#REF!</f>
        <v>#REF!</v>
      </c>
      <c r="AM37" s="12" t="e">
        <f>IF(#REF!=0,0,AF37/#REF!*100)</f>
        <v>#REF!</v>
      </c>
      <c r="AN37" s="44">
        <f t="shared" si="9"/>
        <v>1721149.1199999936</v>
      </c>
      <c r="AO37" s="44">
        <f t="shared" si="10"/>
        <v>108.8475071297635</v>
      </c>
      <c r="AP37" s="12">
        <f t="shared" si="11"/>
        <v>1131790.0199999958</v>
      </c>
      <c r="AQ37" s="44">
        <f t="shared" si="32"/>
        <v>105.64685132012018</v>
      </c>
      <c r="AR37" s="12">
        <f t="shared" si="53"/>
        <v>10678509.979999993</v>
      </c>
      <c r="AS37" s="12">
        <f t="shared" si="54"/>
        <v>201.73757846588546</v>
      </c>
      <c r="AT37" s="34">
        <f t="shared" ref="AT37" si="70">AT38+AT44</f>
        <v>21174641.439999994</v>
      </c>
    </row>
    <row r="38" spans="1:47" s="5" customFormat="1" ht="39" customHeight="1" x14ac:dyDescent="0.3">
      <c r="A38" s="4"/>
      <c r="B38" s="134" t="s">
        <v>59</v>
      </c>
      <c r="C38" s="134"/>
      <c r="D38" s="134"/>
      <c r="E38" s="134"/>
      <c r="F38" s="134"/>
      <c r="G38" s="134"/>
      <c r="H38" s="134"/>
      <c r="I38" s="134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1">S39+S40+S43+S41+S42</f>
        <v>34618925.310000002</v>
      </c>
      <c r="T38" s="13">
        <f t="shared" si="71"/>
        <v>35367638.399999999</v>
      </c>
      <c r="U38" s="13">
        <f>U39+U40+U43</f>
        <v>33924709.399999999</v>
      </c>
      <c r="V38" s="13">
        <f t="shared" ref="V38:AD38" si="72">V39+V40+V43+V41+V42</f>
        <v>19844993.199999999</v>
      </c>
      <c r="W38" s="13"/>
      <c r="X38" s="13">
        <f t="shared" si="72"/>
        <v>0</v>
      </c>
      <c r="Y38" s="13">
        <f t="shared" si="72"/>
        <v>19844993.199999999</v>
      </c>
      <c r="Z38" s="13">
        <f t="shared" si="72"/>
        <v>25090600</v>
      </c>
      <c r="AA38" s="13">
        <f t="shared" si="72"/>
        <v>29480458</v>
      </c>
      <c r="AB38" s="18">
        <f t="shared" si="72"/>
        <v>19453492.32</v>
      </c>
      <c r="AC38" s="13">
        <f t="shared" si="72"/>
        <v>140956.79999999999</v>
      </c>
      <c r="AD38" s="13">
        <f t="shared" si="72"/>
        <v>731021.63</v>
      </c>
      <c r="AE38" s="13">
        <v>20419818.429999996</v>
      </c>
      <c r="AF38" s="13">
        <f>AF39+AF40+AF43+AF41+AF42</f>
        <v>21150840.059999995</v>
      </c>
      <c r="AG38" s="13">
        <f t="shared" si="7"/>
        <v>590064.83000000007</v>
      </c>
      <c r="AH38" s="44">
        <f t="shared" si="3"/>
        <v>-3939759.9400000051</v>
      </c>
      <c r="AI38" s="44">
        <v>0</v>
      </c>
      <c r="AJ38" s="12">
        <f t="shared" si="8"/>
        <v>-8329617.9400000051</v>
      </c>
      <c r="AK38" s="42">
        <f t="shared" si="16"/>
        <v>71.745289913745552</v>
      </c>
      <c r="AL38" s="13" t="e">
        <f>AF38-#REF!</f>
        <v>#REF!</v>
      </c>
      <c r="AM38" s="13" t="e">
        <f>IF(#REF!=0,0,AF38/#REF!*100)</f>
        <v>#REF!</v>
      </c>
      <c r="AN38" s="42">
        <f t="shared" si="9"/>
        <v>1697347.7399999946</v>
      </c>
      <c r="AO38" s="42">
        <f t="shared" si="10"/>
        <v>108.72515696451563</v>
      </c>
      <c r="AP38" s="13">
        <f t="shared" si="11"/>
        <v>1305846.8599999957</v>
      </c>
      <c r="AQ38" s="42">
        <f t="shared" si="32"/>
        <v>106.58023334570855</v>
      </c>
      <c r="AR38" s="12">
        <f t="shared" si="53"/>
        <v>11279156.079999994</v>
      </c>
      <c r="AS38" s="12">
        <f t="shared" si="54"/>
        <v>214.25766974359721</v>
      </c>
      <c r="AT38" s="31">
        <f>AF38</f>
        <v>21150840.059999995</v>
      </c>
    </row>
    <row r="39" spans="1:47" s="5" customFormat="1" ht="39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365537.18</v>
      </c>
      <c r="W39" s="31"/>
      <c r="X39" s="31"/>
      <c r="Y39" s="31">
        <f>V39</f>
        <v>365537.18</v>
      </c>
      <c r="Z39" s="31">
        <v>360000</v>
      </c>
      <c r="AA39" s="31">
        <v>380458</v>
      </c>
      <c r="AB39" s="128">
        <v>276000</v>
      </c>
      <c r="AC39" s="31">
        <v>30315</v>
      </c>
      <c r="AD39" s="31">
        <v>2770</v>
      </c>
      <c r="AE39" s="31">
        <v>332278.21999999997</v>
      </c>
      <c r="AF39" s="31">
        <f t="shared" si="21"/>
        <v>335048.21999999997</v>
      </c>
      <c r="AG39" s="31">
        <f t="shared" si="7"/>
        <v>-27545</v>
      </c>
      <c r="AH39" s="103">
        <f t="shared" si="3"/>
        <v>-24951.780000000028</v>
      </c>
      <c r="AI39" s="103">
        <f>AF39/Z39*100</f>
        <v>93.068950000000001</v>
      </c>
      <c r="AJ39" s="31">
        <f t="shared" si="8"/>
        <v>-45409.780000000028</v>
      </c>
      <c r="AK39" s="103">
        <f t="shared" si="16"/>
        <v>88.064443381398206</v>
      </c>
      <c r="AL39" s="31"/>
      <c r="AM39" s="31"/>
      <c r="AN39" s="103">
        <f t="shared" si="9"/>
        <v>59048.219999999972</v>
      </c>
      <c r="AO39" s="103">
        <f t="shared" si="10"/>
        <v>121.39428260869565</v>
      </c>
      <c r="AP39" s="31">
        <f t="shared" si="11"/>
        <v>-30488.960000000021</v>
      </c>
      <c r="AQ39" s="117">
        <f t="shared" si="32"/>
        <v>91.659135740993563</v>
      </c>
      <c r="AR39" s="12"/>
      <c r="AS39" s="12"/>
      <c r="AT39" s="31"/>
    </row>
    <row r="40" spans="1:47" s="5" customFormat="1" ht="39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3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4">T40</f>
        <v>33218079.799999997</v>
      </c>
      <c r="V40" s="31">
        <v>18785562.02</v>
      </c>
      <c r="W40" s="31"/>
      <c r="X40" s="31"/>
      <c r="Y40" s="31">
        <f>V40</f>
        <v>18785562.02</v>
      </c>
      <c r="Z40" s="31">
        <v>22830600</v>
      </c>
      <c r="AA40" s="31">
        <v>27500000</v>
      </c>
      <c r="AB40" s="128">
        <v>18011520</v>
      </c>
      <c r="AC40" s="31">
        <v>76721.8</v>
      </c>
      <c r="AD40" s="31">
        <v>725501.63</v>
      </c>
      <c r="AE40" s="31">
        <v>18852976.209999997</v>
      </c>
      <c r="AF40" s="31">
        <f t="shared" si="21"/>
        <v>19578477.839999996</v>
      </c>
      <c r="AG40" s="31">
        <f t="shared" si="7"/>
        <v>648779.82999999996</v>
      </c>
      <c r="AH40" s="103">
        <f t="shared" si="3"/>
        <v>-3252122.1600000039</v>
      </c>
      <c r="AI40" s="103">
        <f>AF40/Z40*100</f>
        <v>85.755424036161969</v>
      </c>
      <c r="AJ40" s="31">
        <f t="shared" si="8"/>
        <v>-7921522.1600000039</v>
      </c>
      <c r="AK40" s="103">
        <f t="shared" si="16"/>
        <v>71.194464872727252</v>
      </c>
      <c r="AL40" s="31"/>
      <c r="AM40" s="31"/>
      <c r="AN40" s="103">
        <f t="shared" si="9"/>
        <v>1566957.8399999961</v>
      </c>
      <c r="AO40" s="103">
        <f t="shared" si="10"/>
        <v>108.69975349109902</v>
      </c>
      <c r="AP40" s="31">
        <f t="shared" si="11"/>
        <v>792915.81999999657</v>
      </c>
      <c r="AQ40" s="103">
        <f t="shared" si="32"/>
        <v>104.22087888110997</v>
      </c>
      <c r="AR40" s="12"/>
      <c r="AS40" s="12"/>
      <c r="AT40" s="31"/>
    </row>
    <row r="41" spans="1:47" s="5" customFormat="1" ht="39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661346</v>
      </c>
      <c r="W41" s="31"/>
      <c r="X41" s="31"/>
      <c r="Y41" s="31">
        <f t="shared" ref="Y41:Y42" si="75">V41</f>
        <v>661346</v>
      </c>
      <c r="Z41" s="31">
        <v>1400000</v>
      </c>
      <c r="AA41" s="31">
        <v>1400000</v>
      </c>
      <c r="AB41" s="128">
        <v>1025972.32</v>
      </c>
      <c r="AC41" s="31">
        <v>0</v>
      </c>
      <c r="AD41" s="31">
        <v>350</v>
      </c>
      <c r="AE41" s="31">
        <v>741498</v>
      </c>
      <c r="AF41" s="31">
        <f t="shared" si="21"/>
        <v>741848</v>
      </c>
      <c r="AG41" s="31">
        <f t="shared" si="7"/>
        <v>350</v>
      </c>
      <c r="AH41" s="103">
        <f t="shared" si="3"/>
        <v>-658152</v>
      </c>
      <c r="AI41" s="103">
        <f t="shared" ref="AI41:AI42" si="76">AF41/Z41*100</f>
        <v>52.989142857142859</v>
      </c>
      <c r="AJ41" s="31">
        <f t="shared" si="8"/>
        <v>-658152</v>
      </c>
      <c r="AK41" s="103">
        <f t="shared" si="16"/>
        <v>52.989142857142859</v>
      </c>
      <c r="AL41" s="31"/>
      <c r="AM41" s="31"/>
      <c r="AN41" s="103">
        <f t="shared" si="9"/>
        <v>-284124.31999999995</v>
      </c>
      <c r="AO41" s="103">
        <f t="shared" si="10"/>
        <v>72.306824028157024</v>
      </c>
      <c r="AP41" s="31">
        <f t="shared" si="11"/>
        <v>80502</v>
      </c>
      <c r="AQ41" s="103">
        <f t="shared" si="32"/>
        <v>112.17244830996181</v>
      </c>
      <c r="AR41" s="12"/>
      <c r="AS41" s="12"/>
      <c r="AT41" s="31"/>
    </row>
    <row r="42" spans="1:47" s="5" customFormat="1" ht="39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5"/>
        <v>0</v>
      </c>
      <c r="Z42" s="31">
        <v>500000</v>
      </c>
      <c r="AA42" s="31">
        <v>200000</v>
      </c>
      <c r="AB42" s="128">
        <v>140000</v>
      </c>
      <c r="AC42" s="31">
        <v>0</v>
      </c>
      <c r="AD42" s="31">
        <v>1500</v>
      </c>
      <c r="AE42" s="31">
        <v>246300</v>
      </c>
      <c r="AF42" s="31">
        <f t="shared" si="21"/>
        <v>247800</v>
      </c>
      <c r="AG42" s="31">
        <f t="shared" si="7"/>
        <v>1500</v>
      </c>
      <c r="AH42" s="103">
        <f t="shared" si="3"/>
        <v>-252200</v>
      </c>
      <c r="AI42" s="103">
        <f t="shared" si="76"/>
        <v>49.559999999999995</v>
      </c>
      <c r="AJ42" s="31">
        <f t="shared" si="8"/>
        <v>47800</v>
      </c>
      <c r="AK42" s="103">
        <f t="shared" si="16"/>
        <v>123.9</v>
      </c>
      <c r="AL42" s="31"/>
      <c r="AM42" s="31"/>
      <c r="AN42" s="103">
        <f t="shared" si="9"/>
        <v>107800</v>
      </c>
      <c r="AO42" s="103">
        <f t="shared" si="10"/>
        <v>177</v>
      </c>
      <c r="AP42" s="31">
        <f t="shared" si="11"/>
        <v>247800</v>
      </c>
      <c r="AQ42" s="103">
        <v>0</v>
      </c>
      <c r="AR42" s="12"/>
      <c r="AS42" s="12"/>
      <c r="AT42" s="31"/>
    </row>
    <row r="43" spans="1:47" s="5" customFormat="1" ht="39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3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4"/>
        <v>68665.72</v>
      </c>
      <c r="V43" s="31">
        <v>32548</v>
      </c>
      <c r="W43" s="31"/>
      <c r="X43" s="31"/>
      <c r="Y43" s="31">
        <f>V43</f>
        <v>32548</v>
      </c>
      <c r="Z43" s="31">
        <v>0</v>
      </c>
      <c r="AA43" s="31">
        <v>0</v>
      </c>
      <c r="AB43" s="128">
        <v>0</v>
      </c>
      <c r="AC43" s="31">
        <v>33920</v>
      </c>
      <c r="AD43" s="31">
        <v>900</v>
      </c>
      <c r="AE43" s="31">
        <v>246766</v>
      </c>
      <c r="AF43" s="31">
        <f t="shared" si="21"/>
        <v>247666</v>
      </c>
      <c r="AG43" s="31">
        <f t="shared" si="7"/>
        <v>-33020</v>
      </c>
      <c r="AH43" s="103">
        <f t="shared" si="3"/>
        <v>247666</v>
      </c>
      <c r="AI43" s="103">
        <v>0</v>
      </c>
      <c r="AJ43" s="31">
        <f t="shared" si="8"/>
        <v>247666</v>
      </c>
      <c r="AK43" s="103">
        <v>0</v>
      </c>
      <c r="AL43" s="31"/>
      <c r="AM43" s="31"/>
      <c r="AN43" s="103">
        <f t="shared" si="9"/>
        <v>247666</v>
      </c>
      <c r="AO43" s="103">
        <v>0</v>
      </c>
      <c r="AP43" s="31">
        <f t="shared" si="11"/>
        <v>215118</v>
      </c>
      <c r="AQ43" s="103">
        <f t="shared" si="32"/>
        <v>760.92540248248736</v>
      </c>
      <c r="AR43" s="12"/>
      <c r="AS43" s="12"/>
      <c r="AT43" s="31"/>
    </row>
    <row r="44" spans="1:47" s="5" customFormat="1" ht="28.5" customHeight="1" x14ac:dyDescent="0.3">
      <c r="A44" s="4"/>
      <c r="B44" s="134" t="s">
        <v>12</v>
      </c>
      <c r="C44" s="134"/>
      <c r="D44" s="134"/>
      <c r="E44" s="134"/>
      <c r="F44" s="134"/>
      <c r="G44" s="134"/>
      <c r="H44" s="134"/>
      <c r="I44" s="134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197858.22</v>
      </c>
      <c r="W44" s="13"/>
      <c r="X44" s="13"/>
      <c r="Y44" s="13">
        <f>V44</f>
        <v>197858.22</v>
      </c>
      <c r="Z44" s="13"/>
      <c r="AA44" s="13">
        <v>0</v>
      </c>
      <c r="AB44" s="18">
        <v>0</v>
      </c>
      <c r="AC44" s="13">
        <v>0</v>
      </c>
      <c r="AD44" s="13">
        <v>1253.8800000000001</v>
      </c>
      <c r="AE44" s="13">
        <v>22547.5</v>
      </c>
      <c r="AF44" s="13">
        <f t="shared" si="21"/>
        <v>23801.38</v>
      </c>
      <c r="AG44" s="13">
        <f t="shared" si="7"/>
        <v>1253.8800000000001</v>
      </c>
      <c r="AH44" s="44">
        <f t="shared" si="3"/>
        <v>23801.38</v>
      </c>
      <c r="AI44" s="44">
        <v>0</v>
      </c>
      <c r="AJ44" s="13">
        <f t="shared" si="8"/>
        <v>23801.38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9"/>
        <v>23801.38</v>
      </c>
      <c r="AO44" s="116">
        <v>0</v>
      </c>
      <c r="AP44" s="13">
        <f t="shared" si="11"/>
        <v>-174056.84</v>
      </c>
      <c r="AQ44" s="114">
        <f t="shared" si="32"/>
        <v>12.02951285016109</v>
      </c>
      <c r="AR44" s="12">
        <f t="shared" ref="AR44:AR59" si="77">AF44-M44</f>
        <v>-600646.1</v>
      </c>
      <c r="AS44" s="12">
        <f t="shared" ref="AS44:AS59" si="78">IF(M44=0,0,AF44/M44*100)</f>
        <v>3.811590367856077</v>
      </c>
      <c r="AT44" s="31">
        <f>AF44</f>
        <v>23801.38</v>
      </c>
    </row>
    <row r="45" spans="1:47" s="10" customFormat="1" ht="60" customHeight="1" x14ac:dyDescent="0.3">
      <c r="A45" s="9"/>
      <c r="B45" s="132" t="s">
        <v>11</v>
      </c>
      <c r="C45" s="132"/>
      <c r="D45" s="132"/>
      <c r="E45" s="132"/>
      <c r="F45" s="132"/>
      <c r="G45" s="132"/>
      <c r="H45" s="132"/>
      <c r="I45" s="132"/>
      <c r="J45" s="12">
        <f t="shared" ref="J45:AF45" si="79">J46+J47</f>
        <v>4290634.29</v>
      </c>
      <c r="K45" s="12">
        <f t="shared" si="79"/>
        <v>4290634.29</v>
      </c>
      <c r="L45" s="12">
        <f t="shared" si="79"/>
        <v>3198289.13</v>
      </c>
      <c r="M45" s="12">
        <f t="shared" si="79"/>
        <v>3198289.13</v>
      </c>
      <c r="N45" s="12">
        <f t="shared" si="79"/>
        <v>3516712.9</v>
      </c>
      <c r="O45" s="12">
        <f t="shared" si="79"/>
        <v>4112775.06</v>
      </c>
      <c r="P45" s="12">
        <f t="shared" si="79"/>
        <v>4112775.06</v>
      </c>
      <c r="Q45" s="12">
        <v>4112775.06</v>
      </c>
      <c r="R45" s="12">
        <f t="shared" si="79"/>
        <v>4112775.06</v>
      </c>
      <c r="S45" s="12">
        <f t="shared" si="79"/>
        <v>1171237.6000000001</v>
      </c>
      <c r="T45" s="12">
        <f t="shared" si="79"/>
        <v>2218931.5799999996</v>
      </c>
      <c r="U45" s="12">
        <f t="shared" si="79"/>
        <v>2218931.5799999996</v>
      </c>
      <c r="V45" s="12">
        <f t="shared" si="79"/>
        <v>712944.26</v>
      </c>
      <c r="W45" s="12"/>
      <c r="X45" s="12">
        <f t="shared" si="79"/>
        <v>0</v>
      </c>
      <c r="Y45" s="12">
        <f t="shared" si="79"/>
        <v>712944.26</v>
      </c>
      <c r="Z45" s="12">
        <f t="shared" si="79"/>
        <v>132000</v>
      </c>
      <c r="AA45" s="12">
        <f t="shared" si="79"/>
        <v>132000</v>
      </c>
      <c r="AB45" s="125">
        <f t="shared" si="79"/>
        <v>132000</v>
      </c>
      <c r="AC45" s="12">
        <f t="shared" si="79"/>
        <v>0</v>
      </c>
      <c r="AD45" s="12">
        <f t="shared" si="79"/>
        <v>0</v>
      </c>
      <c r="AE45" s="12">
        <v>2178519.06</v>
      </c>
      <c r="AF45" s="12">
        <f t="shared" si="79"/>
        <v>2178519.06</v>
      </c>
      <c r="AG45" s="12">
        <f t="shared" si="7"/>
        <v>0</v>
      </c>
      <c r="AH45" s="44">
        <f t="shared" si="3"/>
        <v>2046519.06</v>
      </c>
      <c r="AI45" s="44">
        <f t="shared" ref="AI45:AI58" si="80">AF45/Z45*100</f>
        <v>1650.3932272727272</v>
      </c>
      <c r="AJ45" s="12">
        <f t="shared" si="8"/>
        <v>2046519.06</v>
      </c>
      <c r="AK45" s="44">
        <f t="shared" si="16"/>
        <v>1650.3932272727272</v>
      </c>
      <c r="AL45" s="12" t="e">
        <f>AF45-#REF!</f>
        <v>#REF!</v>
      </c>
      <c r="AM45" s="12" t="e">
        <f>IF(#REF!=0,0,AF45/#REF!*100)</f>
        <v>#REF!</v>
      </c>
      <c r="AN45" s="44">
        <f t="shared" si="9"/>
        <v>2046519.06</v>
      </c>
      <c r="AO45" s="119">
        <f t="shared" si="10"/>
        <v>1650.3932272727272</v>
      </c>
      <c r="AP45" s="12">
        <f t="shared" si="11"/>
        <v>1465574.8</v>
      </c>
      <c r="AQ45" s="44">
        <f t="shared" si="32"/>
        <v>305.56653335002653</v>
      </c>
      <c r="AR45" s="12">
        <f t="shared" si="77"/>
        <v>-1019770.0699999998</v>
      </c>
      <c r="AS45" s="12">
        <f t="shared" si="78"/>
        <v>68.115138170763203</v>
      </c>
      <c r="AT45" s="34">
        <f t="shared" ref="AT45" si="81">AT46+AT47</f>
        <v>2178519.06</v>
      </c>
    </row>
    <row r="46" spans="1:47" s="5" customFormat="1" ht="63" customHeight="1" x14ac:dyDescent="0.3">
      <c r="A46" s="4"/>
      <c r="B46" s="134" t="s">
        <v>37</v>
      </c>
      <c r="C46" s="134"/>
      <c r="D46" s="134"/>
      <c r="E46" s="134"/>
      <c r="F46" s="134"/>
      <c r="G46" s="134"/>
      <c r="H46" s="134"/>
      <c r="I46" s="134"/>
      <c r="J46" s="13">
        <v>163530</v>
      </c>
      <c r="K46" s="13">
        <f t="shared" ref="K46:K49" si="82">J46</f>
        <v>163530</v>
      </c>
      <c r="L46" s="13">
        <v>0</v>
      </c>
      <c r="M46" s="13">
        <f t="shared" ref="M46:M49" si="83">L46</f>
        <v>0</v>
      </c>
      <c r="N46" s="13">
        <v>762433</v>
      </c>
      <c r="O46" s="13">
        <v>763713</v>
      </c>
      <c r="P46" s="13">
        <f t="shared" ref="P46:P49" si="84">O46</f>
        <v>763713</v>
      </c>
      <c r="Q46" s="13">
        <v>763713</v>
      </c>
      <c r="R46" s="13">
        <f t="shared" ref="R46:R48" si="85">Q46</f>
        <v>763713</v>
      </c>
      <c r="S46" s="13">
        <v>5228.8</v>
      </c>
      <c r="T46" s="13">
        <v>5228.8</v>
      </c>
      <c r="U46" s="13">
        <f t="shared" ref="U46:U49" si="86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1"/>
        <v>0</v>
      </c>
      <c r="AG46" s="13">
        <f t="shared" si="7"/>
        <v>0</v>
      </c>
      <c r="AH46" s="44">
        <f t="shared" si="3"/>
        <v>-132000</v>
      </c>
      <c r="AI46" s="44">
        <f t="shared" si="80"/>
        <v>0</v>
      </c>
      <c r="AJ46" s="13">
        <f t="shared" si="8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9"/>
        <v>0</v>
      </c>
      <c r="AO46" s="116">
        <v>0</v>
      </c>
      <c r="AP46" s="13">
        <f t="shared" si="11"/>
        <v>-5228.8</v>
      </c>
      <c r="AQ46" s="42">
        <f t="shared" si="32"/>
        <v>0</v>
      </c>
      <c r="AR46" s="12">
        <f t="shared" si="77"/>
        <v>0</v>
      </c>
      <c r="AS46" s="12">
        <f t="shared" si="78"/>
        <v>0</v>
      </c>
      <c r="AT46" s="31">
        <f>AF46</f>
        <v>0</v>
      </c>
    </row>
    <row r="47" spans="1:47" s="5" customFormat="1" ht="65.25" customHeight="1" x14ac:dyDescent="0.3">
      <c r="A47" s="4"/>
      <c r="B47" s="134" t="s">
        <v>10</v>
      </c>
      <c r="C47" s="134"/>
      <c r="D47" s="134"/>
      <c r="E47" s="134"/>
      <c r="F47" s="134"/>
      <c r="G47" s="134"/>
      <c r="H47" s="134"/>
      <c r="I47" s="134"/>
      <c r="J47" s="13">
        <v>4127104.29</v>
      </c>
      <c r="K47" s="13">
        <f t="shared" si="82"/>
        <v>4127104.29</v>
      </c>
      <c r="L47" s="13">
        <v>3198289.13</v>
      </c>
      <c r="M47" s="13">
        <f t="shared" si="83"/>
        <v>3198289.13</v>
      </c>
      <c r="N47" s="13">
        <v>2754279.9</v>
      </c>
      <c r="O47" s="13">
        <v>3349062.06</v>
      </c>
      <c r="P47" s="13">
        <f t="shared" si="84"/>
        <v>3349062.06</v>
      </c>
      <c r="Q47" s="13">
        <v>3349062.06</v>
      </c>
      <c r="R47" s="13">
        <f t="shared" si="85"/>
        <v>3349062.06</v>
      </c>
      <c r="S47" s="13">
        <v>1166008.8</v>
      </c>
      <c r="T47" s="13">
        <v>2213702.7799999998</v>
      </c>
      <c r="U47" s="13">
        <f t="shared" si="86"/>
        <v>2213702.7799999998</v>
      </c>
      <c r="V47" s="13">
        <v>707715.46</v>
      </c>
      <c r="W47" s="13"/>
      <c r="X47" s="13"/>
      <c r="Y47" s="13">
        <f>V47</f>
        <v>707715.46</v>
      </c>
      <c r="Z47" s="13">
        <v>0</v>
      </c>
      <c r="AA47" s="13">
        <v>132000</v>
      </c>
      <c r="AB47" s="18">
        <v>132000</v>
      </c>
      <c r="AC47" s="13">
        <v>0</v>
      </c>
      <c r="AD47" s="13">
        <v>0</v>
      </c>
      <c r="AE47" s="13">
        <v>2178519.06</v>
      </c>
      <c r="AF47" s="13">
        <f t="shared" si="21"/>
        <v>2178519.06</v>
      </c>
      <c r="AG47" s="13">
        <f t="shared" si="7"/>
        <v>0</v>
      </c>
      <c r="AH47" s="44">
        <f t="shared" si="3"/>
        <v>2178519.06</v>
      </c>
      <c r="AI47" s="44">
        <v>0</v>
      </c>
      <c r="AJ47" s="13">
        <f t="shared" si="8"/>
        <v>2046519.06</v>
      </c>
      <c r="AK47" s="42">
        <f>AF47/AA47%</f>
        <v>1650.3932272727272</v>
      </c>
      <c r="AL47" s="13" t="e">
        <f>AF47-#REF!</f>
        <v>#REF!</v>
      </c>
      <c r="AM47" s="13" t="e">
        <f>IF(#REF!=0,0,AF47/#REF!*100)</f>
        <v>#REF!</v>
      </c>
      <c r="AN47" s="42">
        <f t="shared" si="9"/>
        <v>2046519.06</v>
      </c>
      <c r="AO47" s="42">
        <f t="shared" si="10"/>
        <v>1650.3932272727272</v>
      </c>
      <c r="AP47" s="13">
        <f t="shared" si="11"/>
        <v>1470803.6</v>
      </c>
      <c r="AQ47" s="42">
        <f t="shared" si="32"/>
        <v>307.82414446619549</v>
      </c>
      <c r="AR47" s="12">
        <f t="shared" si="77"/>
        <v>-1019770.0699999998</v>
      </c>
      <c r="AS47" s="12">
        <f t="shared" si="78"/>
        <v>68.115138170763203</v>
      </c>
      <c r="AT47" s="31">
        <f>AF47</f>
        <v>2178519.06</v>
      </c>
      <c r="AU47" s="86"/>
    </row>
    <row r="48" spans="1:47" s="10" customFormat="1" ht="39.75" customHeight="1" x14ac:dyDescent="0.3">
      <c r="A48" s="9"/>
      <c r="B48" s="132" t="s">
        <v>9</v>
      </c>
      <c r="C48" s="132"/>
      <c r="D48" s="132"/>
      <c r="E48" s="132"/>
      <c r="F48" s="132"/>
      <c r="G48" s="132"/>
      <c r="H48" s="132"/>
      <c r="I48" s="132"/>
      <c r="J48" s="12">
        <v>2338187.02</v>
      </c>
      <c r="K48" s="12">
        <f t="shared" si="82"/>
        <v>2338187.02</v>
      </c>
      <c r="L48" s="12">
        <v>974257.27</v>
      </c>
      <c r="M48" s="12">
        <f t="shared" si="83"/>
        <v>974257.27</v>
      </c>
      <c r="N48" s="12">
        <v>2799320.03</v>
      </c>
      <c r="O48" s="12">
        <v>3055345.14</v>
      </c>
      <c r="P48" s="12">
        <f t="shared" si="84"/>
        <v>3055345.14</v>
      </c>
      <c r="Q48" s="12">
        <v>3055345.14</v>
      </c>
      <c r="R48" s="12">
        <f t="shared" si="85"/>
        <v>3055345.14</v>
      </c>
      <c r="S48" s="12">
        <v>2239812</v>
      </c>
      <c r="T48" s="12">
        <v>2273274.8299999996</v>
      </c>
      <c r="U48" s="12">
        <f t="shared" si="86"/>
        <v>2273274.8299999996</v>
      </c>
      <c r="V48" s="12">
        <v>1055274.6499999999</v>
      </c>
      <c r="W48" s="12"/>
      <c r="X48" s="12"/>
      <c r="Y48" s="12">
        <f>V48</f>
        <v>1055274.6499999999</v>
      </c>
      <c r="Z48" s="12">
        <v>1249470</v>
      </c>
      <c r="AA48" s="12">
        <v>1147080</v>
      </c>
      <c r="AB48" s="125">
        <v>784963.27</v>
      </c>
      <c r="AC48" s="12">
        <v>19565.2</v>
      </c>
      <c r="AD48" s="12">
        <v>22292.6</v>
      </c>
      <c r="AE48" s="12">
        <v>1498859.61</v>
      </c>
      <c r="AF48" s="12">
        <f t="shared" si="21"/>
        <v>1521152.2100000002</v>
      </c>
      <c r="AG48" s="12">
        <f t="shared" si="7"/>
        <v>2727.3999999999978</v>
      </c>
      <c r="AH48" s="44">
        <f t="shared" si="3"/>
        <v>271682.2100000002</v>
      </c>
      <c r="AI48" s="44">
        <f t="shared" si="80"/>
        <v>121.74379616957592</v>
      </c>
      <c r="AJ48" s="12">
        <f t="shared" si="8"/>
        <v>374072.2100000002</v>
      </c>
      <c r="AK48" s="44">
        <f t="shared" si="16"/>
        <v>132.61082138996412</v>
      </c>
      <c r="AL48" s="12" t="e">
        <f>AF48-#REF!</f>
        <v>#REF!</v>
      </c>
      <c r="AM48" s="12" t="e">
        <f>IF(#REF!=0,0,AF48/#REF!*100)</f>
        <v>#REF!</v>
      </c>
      <c r="AN48" s="44">
        <f t="shared" si="9"/>
        <v>736188.94000000018</v>
      </c>
      <c r="AO48" s="44">
        <f t="shared" si="10"/>
        <v>193.78641882186415</v>
      </c>
      <c r="AP48" s="12">
        <f t="shared" si="11"/>
        <v>465877.56000000029</v>
      </c>
      <c r="AQ48" s="44">
        <f t="shared" si="32"/>
        <v>144.14751742591375</v>
      </c>
      <c r="AR48" s="12">
        <f t="shared" si="77"/>
        <v>546894.94000000018</v>
      </c>
      <c r="AS48" s="12">
        <f t="shared" si="78"/>
        <v>156.13455057923252</v>
      </c>
      <c r="AT48" s="34">
        <f>AF48</f>
        <v>1521152.2100000002</v>
      </c>
    </row>
    <row r="49" spans="1:48" s="22" customFormat="1" ht="30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2"/>
        <v>256536.06</v>
      </c>
      <c r="L49" s="16">
        <v>109317.03</v>
      </c>
      <c r="M49" s="16">
        <f t="shared" si="83"/>
        <v>109317.03</v>
      </c>
      <c r="N49" s="16">
        <v>210726.7</v>
      </c>
      <c r="O49" s="25">
        <f>221100.64+0.02+606.42</f>
        <v>221707.08000000002</v>
      </c>
      <c r="P49" s="16">
        <f t="shared" si="84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6"/>
        <v>278352.34000000003</v>
      </c>
      <c r="V49" s="25">
        <v>173533.42</v>
      </c>
      <c r="W49" s="25"/>
      <c r="X49" s="25"/>
      <c r="Y49" s="16">
        <f>V49</f>
        <v>173533.42</v>
      </c>
      <c r="Z49" s="25">
        <v>336190</v>
      </c>
      <c r="AA49" s="25">
        <v>171137</v>
      </c>
      <c r="AB49" s="18">
        <v>149837</v>
      </c>
      <c r="AC49" s="25">
        <v>2343.48</v>
      </c>
      <c r="AD49" s="25">
        <v>13781.62</v>
      </c>
      <c r="AE49" s="25">
        <v>147962.96000000002</v>
      </c>
      <c r="AF49" s="25">
        <f>AE49+AD49</f>
        <v>161744.58000000002</v>
      </c>
      <c r="AG49" s="16">
        <f t="shared" si="7"/>
        <v>11438.140000000001</v>
      </c>
      <c r="AH49" s="44">
        <f t="shared" si="3"/>
        <v>-174445.41999999998</v>
      </c>
      <c r="AI49" s="44">
        <f t="shared" si="80"/>
        <v>48.111062196971957</v>
      </c>
      <c r="AJ49" s="12">
        <f t="shared" si="8"/>
        <v>-9392.4199999999837</v>
      </c>
      <c r="AK49" s="42">
        <f t="shared" si="16"/>
        <v>94.511753741154763</v>
      </c>
      <c r="AL49" s="13" t="e">
        <f>AF49-#REF!</f>
        <v>#REF!</v>
      </c>
      <c r="AM49" s="13" t="e">
        <f>IF(#REF!=0,0,AF49/#REF!*100)</f>
        <v>#REF!</v>
      </c>
      <c r="AN49" s="42">
        <f t="shared" si="9"/>
        <v>11907.580000000016</v>
      </c>
      <c r="AO49" s="42">
        <f t="shared" si="10"/>
        <v>107.94702243104174</v>
      </c>
      <c r="AP49" s="13">
        <f t="shared" si="11"/>
        <v>-11788.839999999997</v>
      </c>
      <c r="AQ49" s="42">
        <f t="shared" si="32"/>
        <v>93.20658810274125</v>
      </c>
      <c r="AR49" s="12">
        <f t="shared" si="77"/>
        <v>52427.550000000017</v>
      </c>
      <c r="AS49" s="12">
        <f t="shared" si="78"/>
        <v>147.95917891292879</v>
      </c>
      <c r="AT49" s="31">
        <f>AF49</f>
        <v>161744.58000000002</v>
      </c>
      <c r="AV49" s="25"/>
    </row>
    <row r="50" spans="1:48" s="10" customFormat="1" ht="36.75" customHeight="1" x14ac:dyDescent="0.3">
      <c r="A50" s="9"/>
      <c r="B50" s="132" t="s">
        <v>7</v>
      </c>
      <c r="C50" s="132"/>
      <c r="D50" s="132"/>
      <c r="E50" s="132"/>
      <c r="F50" s="132"/>
      <c r="G50" s="132"/>
      <c r="H50" s="132"/>
      <c r="I50" s="132"/>
      <c r="J50" s="12">
        <f t="shared" ref="J50:P50" si="87">J51+J53</f>
        <v>1294662.3799999999</v>
      </c>
      <c r="K50" s="12">
        <f t="shared" si="87"/>
        <v>6201374.7299999995</v>
      </c>
      <c r="L50" s="12">
        <f t="shared" si="87"/>
        <v>389278.05</v>
      </c>
      <c r="M50" s="12">
        <f t="shared" si="87"/>
        <v>4376783.1099999994</v>
      </c>
      <c r="N50" s="12">
        <f t="shared" si="87"/>
        <v>2895802</v>
      </c>
      <c r="O50" s="12">
        <f t="shared" si="87"/>
        <v>4075696.4</v>
      </c>
      <c r="P50" s="12">
        <f t="shared" si="87"/>
        <v>4075696.4</v>
      </c>
      <c r="Q50" s="12">
        <v>4075696.4</v>
      </c>
      <c r="R50" s="12">
        <f t="shared" ref="R50" si="88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89">U51+U52+U53</f>
        <v>5495063.3199999994</v>
      </c>
      <c r="V50" s="12">
        <f t="shared" si="89"/>
        <v>5061198.83</v>
      </c>
      <c r="W50" s="12">
        <f t="shared" si="89"/>
        <v>0</v>
      </c>
      <c r="X50" s="12">
        <f t="shared" si="89"/>
        <v>0</v>
      </c>
      <c r="Y50" s="12">
        <f t="shared" si="89"/>
        <v>5061198.83</v>
      </c>
      <c r="Z50" s="12">
        <f t="shared" ref="Z50" si="90">Z51+Z53</f>
        <v>2715689.65</v>
      </c>
      <c r="AA50" s="12">
        <f t="shared" ref="AA50" si="91">AA51+AA52+AA53</f>
        <v>4906712.3499999996</v>
      </c>
      <c r="AB50" s="125">
        <f t="shared" si="89"/>
        <v>4795463.26</v>
      </c>
      <c r="AC50" s="12">
        <f t="shared" si="89"/>
        <v>75162.7</v>
      </c>
      <c r="AD50" s="12">
        <f t="shared" si="89"/>
        <v>116566.24</v>
      </c>
      <c r="AE50" s="12">
        <v>4006263.2399999998</v>
      </c>
      <c r="AF50" s="12">
        <f>AF51+AF52+AF53</f>
        <v>4122829.4799999995</v>
      </c>
      <c r="AG50" s="12">
        <f t="shared" si="7"/>
        <v>41403.540000000008</v>
      </c>
      <c r="AH50" s="44">
        <f t="shared" si="3"/>
        <v>1407139.8299999996</v>
      </c>
      <c r="AI50" s="44">
        <f t="shared" si="80"/>
        <v>151.81519287375122</v>
      </c>
      <c r="AJ50" s="12">
        <f t="shared" si="8"/>
        <v>-783882.87000000011</v>
      </c>
      <c r="AK50" s="44">
        <f t="shared" si="16"/>
        <v>84.024275032140409</v>
      </c>
      <c r="AL50" s="12" t="e">
        <f>AF50-#REF!</f>
        <v>#REF!</v>
      </c>
      <c r="AM50" s="12" t="e">
        <f>IF(#REF!=0,0,AF50/#REF!*100)</f>
        <v>#REF!</v>
      </c>
      <c r="AN50" s="44">
        <f t="shared" si="9"/>
        <v>-672633.78000000026</v>
      </c>
      <c r="AO50" s="44">
        <f t="shared" si="10"/>
        <v>85.973539082019784</v>
      </c>
      <c r="AP50" s="12">
        <f t="shared" si="11"/>
        <v>-938369.35000000056</v>
      </c>
      <c r="AQ50" s="44">
        <f t="shared" si="32"/>
        <v>81.459543844872016</v>
      </c>
      <c r="AR50" s="12">
        <f t="shared" si="77"/>
        <v>-253953.62999999989</v>
      </c>
      <c r="AS50" s="12">
        <f t="shared" si="78"/>
        <v>94.197710427556459</v>
      </c>
      <c r="AT50" s="34">
        <f t="shared" ref="AT50" si="92">AT51+AT53</f>
        <v>4380750.42</v>
      </c>
    </row>
    <row r="51" spans="1:48" s="5" customFormat="1" ht="23.25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-39116.519999999997</v>
      </c>
      <c r="W51" s="13"/>
      <c r="X51" s="13"/>
      <c r="Y51" s="13">
        <f>V51</f>
        <v>-39116.519999999997</v>
      </c>
      <c r="Z51" s="13">
        <v>0</v>
      </c>
      <c r="AA51" s="13">
        <v>0</v>
      </c>
      <c r="AB51" s="18">
        <v>0</v>
      </c>
      <c r="AC51" s="113">
        <v>27812.7</v>
      </c>
      <c r="AD51" s="113">
        <v>-3487.33</v>
      </c>
      <c r="AE51" s="13">
        <v>28685.749999999844</v>
      </c>
      <c r="AF51" s="13">
        <f t="shared" si="21"/>
        <v>25198.419999999845</v>
      </c>
      <c r="AG51" s="16">
        <f t="shared" si="7"/>
        <v>-31300.03</v>
      </c>
      <c r="AH51" s="44">
        <f t="shared" si="3"/>
        <v>25198.419999999845</v>
      </c>
      <c r="AI51" s="44">
        <v>0</v>
      </c>
      <c r="AJ51" s="13">
        <f t="shared" si="8"/>
        <v>25198.419999999845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9"/>
        <v>25198.419999999845</v>
      </c>
      <c r="AO51" s="116">
        <v>0</v>
      </c>
      <c r="AP51" s="13">
        <f t="shared" si="11"/>
        <v>64314.939999999842</v>
      </c>
      <c r="AQ51" s="115">
        <v>135.36000000000001</v>
      </c>
      <c r="AR51" s="12">
        <f t="shared" si="77"/>
        <v>-364079.63000000012</v>
      </c>
      <c r="AS51" s="12">
        <f t="shared" si="78"/>
        <v>6.4731160670373908</v>
      </c>
      <c r="AT51" s="31">
        <f>AF51</f>
        <v>25198.419999999845</v>
      </c>
    </row>
    <row r="52" spans="1:48" s="5" customFormat="1" ht="39.75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3">T52</f>
        <v>155286.9</v>
      </c>
      <c r="V52" s="13">
        <v>123116.9</v>
      </c>
      <c r="W52" s="13"/>
      <c r="X52" s="13"/>
      <c r="Y52" s="13">
        <f t="shared" ref="Y52:Y53" si="94">V52</f>
        <v>123116.9</v>
      </c>
      <c r="Z52" s="13"/>
      <c r="AA52" s="13">
        <v>0</v>
      </c>
      <c r="AB52" s="18">
        <v>0</v>
      </c>
      <c r="AC52" s="113">
        <v>600</v>
      </c>
      <c r="AD52" s="113">
        <v>1200</v>
      </c>
      <c r="AE52" s="13">
        <v>108926</v>
      </c>
      <c r="AF52" s="13">
        <f t="shared" si="21"/>
        <v>110126</v>
      </c>
      <c r="AG52" s="16">
        <f t="shared" si="7"/>
        <v>600</v>
      </c>
      <c r="AH52" s="44"/>
      <c r="AI52" s="44"/>
      <c r="AJ52" s="13">
        <f t="shared" si="8"/>
        <v>110126</v>
      </c>
      <c r="AK52" s="116">
        <v>0</v>
      </c>
      <c r="AL52" s="13"/>
      <c r="AM52" s="13"/>
      <c r="AN52" s="42">
        <f t="shared" si="9"/>
        <v>110126</v>
      </c>
      <c r="AO52" s="116">
        <v>0</v>
      </c>
      <c r="AP52" s="13">
        <f t="shared" si="11"/>
        <v>-12990.899999999994</v>
      </c>
      <c r="AQ52" s="44">
        <f t="shared" si="32"/>
        <v>89.448321067213371</v>
      </c>
      <c r="AR52" s="12"/>
      <c r="AS52" s="12"/>
      <c r="AT52" s="31"/>
    </row>
    <row r="53" spans="1:48" s="5" customFormat="1" ht="28.5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3987505.0599999996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3"/>
        <v>5381046.0499999998</v>
      </c>
      <c r="V53" s="13">
        <v>4977198.45</v>
      </c>
      <c r="W53" s="13"/>
      <c r="X53" s="13"/>
      <c r="Y53" s="13">
        <f t="shared" si="94"/>
        <v>4977198.45</v>
      </c>
      <c r="Z53" s="13">
        <v>2715689.65</v>
      </c>
      <c r="AA53" s="13">
        <v>4906712.3499999996</v>
      </c>
      <c r="AB53" s="18">
        <v>4795463.26</v>
      </c>
      <c r="AC53" s="13">
        <v>46750</v>
      </c>
      <c r="AD53" s="13">
        <v>118853.57</v>
      </c>
      <c r="AE53" s="13">
        <v>3868651.4899999998</v>
      </c>
      <c r="AF53" s="13">
        <f t="shared" si="21"/>
        <v>3987505.0599999996</v>
      </c>
      <c r="AG53" s="16">
        <f t="shared" si="7"/>
        <v>72103.570000000007</v>
      </c>
      <c r="AH53" s="44">
        <f t="shared" si="3"/>
        <v>1271815.4099999997</v>
      </c>
      <c r="AI53" s="44">
        <f t="shared" si="80"/>
        <v>146.83213378229723</v>
      </c>
      <c r="AJ53" s="13">
        <f t="shared" si="8"/>
        <v>-919207.29</v>
      </c>
      <c r="AK53" s="42">
        <f t="shared" si="16"/>
        <v>81.266330193576565</v>
      </c>
      <c r="AL53" s="13" t="e">
        <f>AF53-#REF!</f>
        <v>#REF!</v>
      </c>
      <c r="AM53" s="13" t="e">
        <f>IF(#REF!=0,0,AF53/#REF!*100)</f>
        <v>#REF!</v>
      </c>
      <c r="AN53" s="42">
        <f t="shared" si="9"/>
        <v>-807958.20000000019</v>
      </c>
      <c r="AO53" s="42">
        <f t="shared" si="10"/>
        <v>83.151613176992626</v>
      </c>
      <c r="AP53" s="13">
        <f t="shared" si="11"/>
        <v>-989693.3900000006</v>
      </c>
      <c r="AQ53" s="42">
        <f t="shared" si="32"/>
        <v>80.11545249918656</v>
      </c>
      <c r="AR53" s="12">
        <f t="shared" si="77"/>
        <v>0</v>
      </c>
      <c r="AS53" s="12">
        <f t="shared" si="78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2" t="s">
        <v>1</v>
      </c>
      <c r="C54" s="132"/>
      <c r="D54" s="132"/>
      <c r="E54" s="132"/>
      <c r="F54" s="132"/>
      <c r="G54" s="132"/>
      <c r="H54" s="132"/>
      <c r="I54" s="132"/>
      <c r="J54" s="12">
        <f t="shared" ref="J54:R54" si="95">J55+J56+J57+J58+J59+J61+J62</f>
        <v>1731743649.9200001</v>
      </c>
      <c r="K54" s="12">
        <f t="shared" si="95"/>
        <v>1726065816.5200002</v>
      </c>
      <c r="L54" s="26">
        <f t="shared" si="95"/>
        <v>754564037.68999994</v>
      </c>
      <c r="M54" s="26">
        <f t="shared" si="95"/>
        <v>750829669.28999996</v>
      </c>
      <c r="N54" s="12">
        <f t="shared" si="95"/>
        <v>1949401304.4499998</v>
      </c>
      <c r="O54" s="12">
        <f t="shared" si="95"/>
        <v>1942881158.9100001</v>
      </c>
      <c r="P54" s="12">
        <f t="shared" si="95"/>
        <v>1942881158.9100001</v>
      </c>
      <c r="Q54" s="12">
        <v>1942881158.9100001</v>
      </c>
      <c r="R54" s="12">
        <f t="shared" si="95"/>
        <v>1942881158.9100001</v>
      </c>
      <c r="S54" s="12">
        <f t="shared" ref="S54:AD54" si="96">S55+S56+S57+S58+S59+S60+S61+S62</f>
        <v>2058217674.4300001</v>
      </c>
      <c r="T54" s="12">
        <f t="shared" si="96"/>
        <v>2039899297.8500004</v>
      </c>
      <c r="U54" s="12">
        <f t="shared" si="96"/>
        <v>2039899297.8500004</v>
      </c>
      <c r="V54" s="12">
        <f t="shared" si="96"/>
        <v>1244803828.8200002</v>
      </c>
      <c r="W54" s="12">
        <f t="shared" si="96"/>
        <v>0</v>
      </c>
      <c r="X54" s="12">
        <f t="shared" si="96"/>
        <v>0</v>
      </c>
      <c r="Y54" s="12">
        <f t="shared" si="96"/>
        <v>1244803828.8200002</v>
      </c>
      <c r="Z54" s="12">
        <f t="shared" si="96"/>
        <v>1741578685.6100001</v>
      </c>
      <c r="AA54" s="12">
        <f t="shared" si="96"/>
        <v>1934856361.9000001</v>
      </c>
      <c r="AB54" s="125">
        <f t="shared" si="96"/>
        <v>1297712233.3</v>
      </c>
      <c r="AC54" s="12">
        <f t="shared" si="96"/>
        <v>11571803.99</v>
      </c>
      <c r="AD54" s="12">
        <f t="shared" si="96"/>
        <v>28797686.810000002</v>
      </c>
      <c r="AE54" s="12">
        <v>980172935.13</v>
      </c>
      <c r="AF54" s="12">
        <f>AF55+AF56+AF57+AF58+AF59+AF60+AF61+AF62</f>
        <v>1008970621.9399999</v>
      </c>
      <c r="AG54" s="12">
        <f t="shared" si="7"/>
        <v>17225882.82</v>
      </c>
      <c r="AH54" s="44">
        <f t="shared" si="3"/>
        <v>-732608063.6700002</v>
      </c>
      <c r="AI54" s="44">
        <f t="shared" si="80"/>
        <v>57.934254149797482</v>
      </c>
      <c r="AJ54" s="12">
        <f t="shared" si="8"/>
        <v>-925885739.96000016</v>
      </c>
      <c r="AK54" s="44">
        <f t="shared" si="16"/>
        <v>52.147055554511844</v>
      </c>
      <c r="AL54" s="12" t="e">
        <f>AF54-#REF!</f>
        <v>#REF!</v>
      </c>
      <c r="AM54" s="12" t="e">
        <f>IF(#REF!=0,0,AF54/#REF!*100)</f>
        <v>#REF!</v>
      </c>
      <c r="AN54" s="44">
        <f t="shared" si="9"/>
        <v>-288741611.36000001</v>
      </c>
      <c r="AO54" s="44">
        <f t="shared" si="10"/>
        <v>77.749950724765199</v>
      </c>
      <c r="AP54" s="12">
        <f t="shared" si="11"/>
        <v>-235833206.88000023</v>
      </c>
      <c r="AQ54" s="44">
        <f t="shared" si="32"/>
        <v>81.054588568902773</v>
      </c>
      <c r="AR54" s="12">
        <f t="shared" si="77"/>
        <v>258140952.64999998</v>
      </c>
      <c r="AS54" s="12">
        <f t="shared" si="78"/>
        <v>134.38076080479124</v>
      </c>
      <c r="AT54" s="34" t="e">
        <f t="shared" ref="AT54" si="97">AT55+AT56+AT57+AT58+AT59+AT61+AT62</f>
        <v>#REF!</v>
      </c>
    </row>
    <row r="55" spans="1:48" s="10" customFormat="1" ht="38.25" customHeight="1" x14ac:dyDescent="0.3">
      <c r="A55" s="9"/>
      <c r="B55" s="132" t="s">
        <v>6</v>
      </c>
      <c r="C55" s="132"/>
      <c r="D55" s="132"/>
      <c r="E55" s="132"/>
      <c r="F55" s="132"/>
      <c r="G55" s="132"/>
      <c r="H55" s="132"/>
      <c r="I55" s="132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98">O55</f>
        <v>436509000</v>
      </c>
      <c r="Q55" s="12">
        <v>436509000</v>
      </c>
      <c r="R55" s="12">
        <f t="shared" ref="R55:R62" si="99">Q55</f>
        <v>436509000</v>
      </c>
      <c r="S55" s="12">
        <v>543552380</v>
      </c>
      <c r="T55" s="12">
        <v>543552380</v>
      </c>
      <c r="U55" s="12">
        <f t="shared" ref="U55:U62" si="100">T55</f>
        <v>543552380</v>
      </c>
      <c r="V55" s="12">
        <v>414321729</v>
      </c>
      <c r="W55" s="12"/>
      <c r="X55" s="12"/>
      <c r="Y55" s="12">
        <f t="shared" ref="Y55:Y62" si="101">V55</f>
        <v>414321729</v>
      </c>
      <c r="Z55" s="12">
        <v>543282000</v>
      </c>
      <c r="AA55" s="12">
        <v>504630000</v>
      </c>
      <c r="AB55" s="129">
        <v>336420000</v>
      </c>
      <c r="AC55" s="12">
        <v>0</v>
      </c>
      <c r="AD55" s="12">
        <v>0</v>
      </c>
      <c r="AE55" s="12">
        <v>294367500</v>
      </c>
      <c r="AF55" s="12">
        <f t="shared" si="21"/>
        <v>294367500</v>
      </c>
      <c r="AG55" s="12">
        <f t="shared" si="7"/>
        <v>0</v>
      </c>
      <c r="AH55" s="44">
        <f t="shared" si="3"/>
        <v>-248914500</v>
      </c>
      <c r="AI55" s="44">
        <f t="shared" si="80"/>
        <v>54.183186632356673</v>
      </c>
      <c r="AJ55" s="12">
        <f t="shared" si="8"/>
        <v>-210262500</v>
      </c>
      <c r="AK55" s="44">
        <f t="shared" si="16"/>
        <v>58.333333333333336</v>
      </c>
      <c r="AL55" s="12" t="e">
        <f>AF55-#REF!</f>
        <v>#REF!</v>
      </c>
      <c r="AM55" s="12" t="e">
        <f>IF(#REF!=0,0,AF55/#REF!*100)</f>
        <v>#REF!</v>
      </c>
      <c r="AN55" s="44">
        <f t="shared" si="9"/>
        <v>-42052500</v>
      </c>
      <c r="AO55" s="44">
        <f t="shared" si="10"/>
        <v>87.5</v>
      </c>
      <c r="AP55" s="12">
        <f t="shared" si="11"/>
        <v>-119954229</v>
      </c>
      <c r="AQ55" s="44">
        <f t="shared" si="32"/>
        <v>71.048047784141204</v>
      </c>
      <c r="AR55" s="12">
        <f t="shared" si="77"/>
        <v>92878500</v>
      </c>
      <c r="AS55" s="12">
        <f t="shared" si="78"/>
        <v>146.09606479758199</v>
      </c>
      <c r="AT55" s="34">
        <v>436509000</v>
      </c>
    </row>
    <row r="56" spans="1:48" s="10" customFormat="1" ht="43.5" customHeight="1" x14ac:dyDescent="0.3">
      <c r="A56" s="9"/>
      <c r="B56" s="132" t="s">
        <v>5</v>
      </c>
      <c r="C56" s="132"/>
      <c r="D56" s="132"/>
      <c r="E56" s="132"/>
      <c r="F56" s="132"/>
      <c r="G56" s="132"/>
      <c r="H56" s="132"/>
      <c r="I56" s="132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98"/>
        <v>266680542.02000001</v>
      </c>
      <c r="Q56" s="12">
        <v>266680542.02000001</v>
      </c>
      <c r="R56" s="12">
        <f t="shared" si="99"/>
        <v>266680542.02000001</v>
      </c>
      <c r="S56" s="12">
        <v>448087921.25</v>
      </c>
      <c r="T56" s="12">
        <v>432403468.83000004</v>
      </c>
      <c r="U56" s="12">
        <f t="shared" si="100"/>
        <v>432403468.83000004</v>
      </c>
      <c r="V56" s="12">
        <v>128109523.8</v>
      </c>
      <c r="W56" s="12"/>
      <c r="X56" s="12"/>
      <c r="Y56" s="12">
        <f t="shared" si="101"/>
        <v>128109523.8</v>
      </c>
      <c r="Z56" s="12">
        <v>164450526.09999999</v>
      </c>
      <c r="AA56" s="12">
        <v>488384911.55000001</v>
      </c>
      <c r="AB56" s="125">
        <v>284601807.69</v>
      </c>
      <c r="AC56" s="12">
        <v>2595289.98</v>
      </c>
      <c r="AD56" s="12">
        <v>10521285.51</v>
      </c>
      <c r="AE56" s="12">
        <v>140374166.45999998</v>
      </c>
      <c r="AF56" s="12">
        <f t="shared" si="21"/>
        <v>150895451.96999997</v>
      </c>
      <c r="AG56" s="12">
        <f t="shared" si="7"/>
        <v>7925995.5299999993</v>
      </c>
      <c r="AH56" s="44">
        <f t="shared" si="3"/>
        <v>-13555074.130000025</v>
      </c>
      <c r="AI56" s="44">
        <f t="shared" si="80"/>
        <v>91.757354353638618</v>
      </c>
      <c r="AJ56" s="12">
        <f t="shared" si="8"/>
        <v>-337489459.58000004</v>
      </c>
      <c r="AK56" s="44">
        <f t="shared" si="16"/>
        <v>30.896829202011812</v>
      </c>
      <c r="AL56" s="12" t="e">
        <f>AF56-#REF!</f>
        <v>#REF!</v>
      </c>
      <c r="AM56" s="12" t="e">
        <f>IF(#REF!=0,0,AF56/#REF!*100)</f>
        <v>#REF!</v>
      </c>
      <c r="AN56" s="44">
        <f t="shared" si="9"/>
        <v>-133706355.72000003</v>
      </c>
      <c r="AO56" s="44">
        <f t="shared" si="10"/>
        <v>53.019850153011504</v>
      </c>
      <c r="AP56" s="12">
        <f t="shared" si="11"/>
        <v>22785928.169999972</v>
      </c>
      <c r="AQ56" s="44">
        <f t="shared" si="32"/>
        <v>117.78628746257192</v>
      </c>
      <c r="AR56" s="12">
        <f t="shared" si="77"/>
        <v>82643267.869999975</v>
      </c>
      <c r="AS56" s="12">
        <f t="shared" si="78"/>
        <v>221.08516226955436</v>
      </c>
      <c r="AT56" s="34" t="e">
        <f>#REF!</f>
        <v>#REF!</v>
      </c>
    </row>
    <row r="57" spans="1:48" s="10" customFormat="1" ht="45" customHeight="1" x14ac:dyDescent="0.3">
      <c r="A57" s="9"/>
      <c r="B57" s="132" t="s">
        <v>4</v>
      </c>
      <c r="C57" s="132"/>
      <c r="D57" s="132"/>
      <c r="E57" s="132"/>
      <c r="F57" s="132"/>
      <c r="G57" s="132"/>
      <c r="H57" s="132"/>
      <c r="I57" s="132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98"/>
        <v>1213354064.45</v>
      </c>
      <c r="Q57" s="12">
        <v>1213354064.45</v>
      </c>
      <c r="R57" s="12">
        <f t="shared" si="99"/>
        <v>1213354064.45</v>
      </c>
      <c r="S57" s="12">
        <v>1052485113.04</v>
      </c>
      <c r="T57" s="12">
        <v>1050017221.74</v>
      </c>
      <c r="U57" s="12">
        <f t="shared" si="100"/>
        <v>1050017221.74</v>
      </c>
      <c r="V57" s="12">
        <v>699476707.25</v>
      </c>
      <c r="W57" s="12"/>
      <c r="X57" s="12"/>
      <c r="Y57" s="12">
        <f t="shared" si="101"/>
        <v>699476707.25</v>
      </c>
      <c r="Z57" s="12">
        <v>1032066181.7</v>
      </c>
      <c r="AA57" s="12">
        <v>908628685.87</v>
      </c>
      <c r="AB57" s="125">
        <v>650893566.99000001</v>
      </c>
      <c r="AC57" s="12">
        <v>8976514.0099999998</v>
      </c>
      <c r="AD57" s="12">
        <v>18276401.300000001</v>
      </c>
      <c r="AE57" s="12">
        <v>529499527.28000003</v>
      </c>
      <c r="AF57" s="12">
        <f t="shared" si="21"/>
        <v>547775928.58000004</v>
      </c>
      <c r="AG57" s="12">
        <f t="shared" si="7"/>
        <v>9299887.290000001</v>
      </c>
      <c r="AH57" s="44">
        <f t="shared" si="3"/>
        <v>-484290253.12</v>
      </c>
      <c r="AI57" s="44">
        <f t="shared" si="80"/>
        <v>53.075659128537069</v>
      </c>
      <c r="AJ57" s="12">
        <f t="shared" si="8"/>
        <v>-360852757.28999996</v>
      </c>
      <c r="AK57" s="44">
        <f t="shared" si="16"/>
        <v>60.286004293988562</v>
      </c>
      <c r="AL57" s="12" t="e">
        <f>AF57-#REF!</f>
        <v>#REF!</v>
      </c>
      <c r="AM57" s="12" t="e">
        <f>IF(#REF!=0,0,AF57/#REF!*100)</f>
        <v>#REF!</v>
      </c>
      <c r="AN57" s="44">
        <f t="shared" si="9"/>
        <v>-103117638.40999997</v>
      </c>
      <c r="AO57" s="44">
        <f t="shared" si="10"/>
        <v>84.157526876958016</v>
      </c>
      <c r="AP57" s="12">
        <f t="shared" si="11"/>
        <v>-151700778.66999996</v>
      </c>
      <c r="AQ57" s="44">
        <f t="shared" si="32"/>
        <v>78.312247270332534</v>
      </c>
      <c r="AR57" s="12">
        <f t="shared" si="77"/>
        <v>63277246.460000038</v>
      </c>
      <c r="AS57" s="12">
        <f t="shared" si="78"/>
        <v>113.0603547120336</v>
      </c>
      <c r="AT57" s="34" t="e">
        <f>#REF!</f>
        <v>#REF!</v>
      </c>
    </row>
    <row r="58" spans="1:48" s="10" customFormat="1" ht="27" customHeight="1" x14ac:dyDescent="0.3">
      <c r="A58" s="9"/>
      <c r="B58" s="132" t="s">
        <v>3</v>
      </c>
      <c r="C58" s="132"/>
      <c r="D58" s="132"/>
      <c r="E58" s="132"/>
      <c r="F58" s="132"/>
      <c r="G58" s="132"/>
      <c r="H58" s="132"/>
      <c r="I58" s="132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98"/>
        <v>31536396.41</v>
      </c>
      <c r="Q58" s="12">
        <v>31536396.41</v>
      </c>
      <c r="R58" s="12">
        <f t="shared" si="99"/>
        <v>31536396.41</v>
      </c>
      <c r="S58" s="12">
        <v>14687976.27</v>
      </c>
      <c r="T58" s="12">
        <v>14514443.27</v>
      </c>
      <c r="U58" s="12">
        <f t="shared" si="100"/>
        <v>14514443.27</v>
      </c>
      <c r="V58" s="12">
        <v>3467233.49</v>
      </c>
      <c r="W58" s="12"/>
      <c r="X58" s="12"/>
      <c r="Y58" s="12">
        <f t="shared" si="101"/>
        <v>3467233.49</v>
      </c>
      <c r="Z58" s="12">
        <v>1779977.81</v>
      </c>
      <c r="AA58" s="12">
        <v>33177764.48</v>
      </c>
      <c r="AB58" s="125">
        <v>25761858.620000001</v>
      </c>
      <c r="AC58" s="12">
        <v>0</v>
      </c>
      <c r="AD58" s="12">
        <v>0</v>
      </c>
      <c r="AE58" s="12">
        <v>19137380.25</v>
      </c>
      <c r="AF58" s="12">
        <f t="shared" si="21"/>
        <v>19137380.25</v>
      </c>
      <c r="AG58" s="12">
        <f t="shared" si="7"/>
        <v>0</v>
      </c>
      <c r="AH58" s="44">
        <f t="shared" si="3"/>
        <v>17357402.440000001</v>
      </c>
      <c r="AI58" s="44">
        <f t="shared" si="80"/>
        <v>1075.1471250082607</v>
      </c>
      <c r="AJ58" s="12">
        <f t="shared" si="8"/>
        <v>-14040384.23</v>
      </c>
      <c r="AK58" s="44">
        <f t="shared" si="16"/>
        <v>57.681343363372982</v>
      </c>
      <c r="AL58" s="12" t="e">
        <f>AF58-#REF!</f>
        <v>#REF!</v>
      </c>
      <c r="AM58" s="12" t="e">
        <f>IF(#REF!=0,0,AF58/#REF!*100)</f>
        <v>#REF!</v>
      </c>
      <c r="AN58" s="44">
        <f t="shared" si="9"/>
        <v>-6624478.370000001</v>
      </c>
      <c r="AO58" s="44">
        <f t="shared" si="10"/>
        <v>74.285712581090152</v>
      </c>
      <c r="AP58" s="12">
        <f t="shared" si="11"/>
        <v>15670146.76</v>
      </c>
      <c r="AQ58" s="44">
        <f t="shared" si="32"/>
        <v>551.94956743452542</v>
      </c>
      <c r="AR58" s="12">
        <f t="shared" si="77"/>
        <v>18607979.82</v>
      </c>
      <c r="AS58" s="12">
        <f t="shared" si="78"/>
        <v>3614.9158870158076</v>
      </c>
      <c r="AT58" s="34" t="e">
        <f>#REF!</f>
        <v>#REF!</v>
      </c>
    </row>
    <row r="59" spans="1:48" s="10" customFormat="1" ht="39" customHeight="1" x14ac:dyDescent="0.3">
      <c r="A59" s="9"/>
      <c r="B59" s="132" t="s">
        <v>2</v>
      </c>
      <c r="C59" s="132"/>
      <c r="D59" s="132"/>
      <c r="E59" s="132"/>
      <c r="F59" s="132"/>
      <c r="G59" s="132"/>
      <c r="H59" s="132"/>
      <c r="I59" s="132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98"/>
        <v>18244.099999999999</v>
      </c>
      <c r="Q59" s="12">
        <v>18244.099999999999</v>
      </c>
      <c r="R59" s="12">
        <f t="shared" si="99"/>
        <v>18244.099999999999</v>
      </c>
      <c r="S59" s="12">
        <v>102600.69</v>
      </c>
      <c r="T59" s="12">
        <v>110100.69</v>
      </c>
      <c r="U59" s="12">
        <f t="shared" si="100"/>
        <v>110100.69</v>
      </c>
      <c r="V59" s="12">
        <v>91716.92</v>
      </c>
      <c r="W59" s="12"/>
      <c r="X59" s="12"/>
      <c r="Y59" s="12">
        <f t="shared" si="101"/>
        <v>91716.92</v>
      </c>
      <c r="Z59" s="12">
        <v>0</v>
      </c>
      <c r="AA59" s="12">
        <v>35000</v>
      </c>
      <c r="AB59" s="125">
        <v>35000</v>
      </c>
      <c r="AC59" s="12">
        <v>0</v>
      </c>
      <c r="AD59" s="12">
        <v>0</v>
      </c>
      <c r="AE59" s="12">
        <v>35000</v>
      </c>
      <c r="AF59" s="12">
        <f t="shared" si="21"/>
        <v>35000</v>
      </c>
      <c r="AG59" s="12">
        <f t="shared" si="7"/>
        <v>0</v>
      </c>
      <c r="AH59" s="44">
        <f t="shared" si="3"/>
        <v>35000</v>
      </c>
      <c r="AI59" s="44">
        <v>0</v>
      </c>
      <c r="AJ59" s="12">
        <f t="shared" si="8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9"/>
        <v>0</v>
      </c>
      <c r="AO59" s="115">
        <v>0</v>
      </c>
      <c r="AP59" s="12">
        <f t="shared" si="11"/>
        <v>-56716.92</v>
      </c>
      <c r="AQ59" s="44">
        <f t="shared" si="32"/>
        <v>38.16089768387338</v>
      </c>
      <c r="AR59" s="12">
        <f t="shared" si="77"/>
        <v>19854.900000000001</v>
      </c>
      <c r="AS59" s="12">
        <f t="shared" si="78"/>
        <v>231.09784682834712</v>
      </c>
      <c r="AT59" s="34">
        <f>AF59</f>
        <v>35000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1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1"/>
        <v>0</v>
      </c>
      <c r="AG60" s="12">
        <f>AD60-AC60</f>
        <v>0</v>
      </c>
      <c r="AH60" s="44">
        <f t="shared" si="3"/>
        <v>0</v>
      </c>
      <c r="AI60" s="44">
        <v>0</v>
      </c>
      <c r="AJ60" s="12">
        <f t="shared" si="8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9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98"/>
        <v>280404</v>
      </c>
      <c r="Q61" s="12">
        <v>280404</v>
      </c>
      <c r="R61" s="12">
        <f t="shared" si="99"/>
        <v>280404</v>
      </c>
      <c r="S61" s="12">
        <v>0</v>
      </c>
      <c r="T61" s="12">
        <v>0.13999999999941792</v>
      </c>
      <c r="U61" s="12">
        <f t="shared" si="100"/>
        <v>0.13999999999941792</v>
      </c>
      <c r="V61" s="12">
        <v>0.14000000000000001</v>
      </c>
      <c r="W61" s="12"/>
      <c r="X61" s="12"/>
      <c r="Y61" s="12">
        <f t="shared" si="101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1"/>
        <v>0</v>
      </c>
      <c r="AG61" s="12">
        <f t="shared" si="7"/>
        <v>0</v>
      </c>
      <c r="AH61" s="44">
        <f t="shared" si="3"/>
        <v>0</v>
      </c>
      <c r="AI61" s="44">
        <v>0</v>
      </c>
      <c r="AJ61" s="12">
        <f t="shared" si="8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9"/>
        <v>0</v>
      </c>
      <c r="AO61" s="44">
        <v>0</v>
      </c>
      <c r="AP61" s="12">
        <f t="shared" si="11"/>
        <v>-0.14000000000000001</v>
      </c>
      <c r="AQ61" s="44">
        <f t="shared" si="32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2" t="s">
        <v>0</v>
      </c>
      <c r="C62" s="132"/>
      <c r="D62" s="132"/>
      <c r="E62" s="132"/>
      <c r="F62" s="132"/>
      <c r="G62" s="132"/>
      <c r="H62" s="132"/>
      <c r="I62" s="132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98"/>
        <v>-5497492.0700000003</v>
      </c>
      <c r="Q62" s="12">
        <v>-5497492.0700000003</v>
      </c>
      <c r="R62" s="12">
        <f t="shared" si="99"/>
        <v>-5497492.0700000003</v>
      </c>
      <c r="S62" s="12">
        <v>-698316.82</v>
      </c>
      <c r="T62" s="12">
        <v>-698316.82000000018</v>
      </c>
      <c r="U62" s="12">
        <f t="shared" si="100"/>
        <v>-698316.82000000018</v>
      </c>
      <c r="V62" s="12">
        <v>-663081.78</v>
      </c>
      <c r="W62" s="12"/>
      <c r="X62" s="12"/>
      <c r="Y62" s="12">
        <f t="shared" si="101"/>
        <v>-663081.78</v>
      </c>
      <c r="Z62" s="12">
        <v>0</v>
      </c>
      <c r="AA62" s="12">
        <v>0</v>
      </c>
      <c r="AB62" s="125">
        <v>0</v>
      </c>
      <c r="AC62" s="12">
        <v>0</v>
      </c>
      <c r="AD62" s="12">
        <v>0</v>
      </c>
      <c r="AE62" s="12">
        <v>-3240638.8599999975</v>
      </c>
      <c r="AF62" s="12">
        <f t="shared" si="21"/>
        <v>-3240638.8599999975</v>
      </c>
      <c r="AG62" s="12">
        <f t="shared" si="7"/>
        <v>0</v>
      </c>
      <c r="AH62" s="44">
        <f t="shared" si="3"/>
        <v>-3240638.8599999975</v>
      </c>
      <c r="AI62" s="44">
        <v>0</v>
      </c>
      <c r="AJ62" s="12">
        <f t="shared" si="8"/>
        <v>-3240638.8599999975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9"/>
        <v>-3240638.8599999975</v>
      </c>
      <c r="AO62" s="12">
        <v>0</v>
      </c>
      <c r="AP62" s="12">
        <f t="shared" si="11"/>
        <v>-2577557.0799999973</v>
      </c>
      <c r="AQ62" s="44">
        <f t="shared" si="32"/>
        <v>488.7238584658437</v>
      </c>
      <c r="AR62" s="12">
        <f>AF62-M62</f>
        <v>714103.60000000242</v>
      </c>
      <c r="AS62" s="12">
        <f>IF(M62=0,0,AF62/M62*100)</f>
        <v>81.94310736482187</v>
      </c>
      <c r="AT62" s="34">
        <f>AF62</f>
        <v>-3240638.8599999975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2">J54+J7</f>
        <v>2092393430.8699999</v>
      </c>
      <c r="K63" s="13">
        <f t="shared" si="102"/>
        <v>2073076231.6351347</v>
      </c>
      <c r="L63" s="28">
        <f t="shared" si="102"/>
        <v>881017080.54999995</v>
      </c>
      <c r="M63" s="26">
        <f t="shared" si="102"/>
        <v>873794745.27554321</v>
      </c>
      <c r="N63" s="12">
        <f t="shared" si="102"/>
        <v>2309803775.2699995</v>
      </c>
      <c r="O63" s="12">
        <f t="shared" si="102"/>
        <v>2328450949.6999998</v>
      </c>
      <c r="P63" s="12">
        <f t="shared" si="102"/>
        <v>2327457942.815587</v>
      </c>
      <c r="Q63" s="12">
        <f t="shared" si="102"/>
        <v>2328450949.6999998</v>
      </c>
      <c r="R63" s="12">
        <f t="shared" si="102"/>
        <v>2324234116.085587</v>
      </c>
      <c r="S63" s="12">
        <f t="shared" si="102"/>
        <v>2468054121.4099998</v>
      </c>
      <c r="T63" s="12">
        <f t="shared" si="102"/>
        <v>2473502940.9500003</v>
      </c>
      <c r="U63" s="12">
        <f t="shared" si="102"/>
        <v>2624074313.2158422</v>
      </c>
      <c r="V63" s="12">
        <f t="shared" si="102"/>
        <v>1454583313.6100001</v>
      </c>
      <c r="W63" s="12"/>
      <c r="X63" s="12">
        <f t="shared" ref="X63:AF63" si="103">X54+X7</f>
        <v>0</v>
      </c>
      <c r="Y63" s="12">
        <f t="shared" si="103"/>
        <v>1528686543.3038945</v>
      </c>
      <c r="Z63" s="12">
        <f t="shared" si="103"/>
        <v>2141993785.2600002</v>
      </c>
      <c r="AA63" s="12">
        <f t="shared" si="103"/>
        <v>2522406988.8699999</v>
      </c>
      <c r="AB63" s="125">
        <f t="shared" si="103"/>
        <v>1668140165.2</v>
      </c>
      <c r="AC63" s="12">
        <f t="shared" si="103"/>
        <v>45008206.839999996</v>
      </c>
      <c r="AD63" s="12">
        <f t="shared" si="103"/>
        <v>36642066.530000001</v>
      </c>
      <c r="AE63" s="12">
        <f>AE54+AE7</f>
        <v>1319602755.8</v>
      </c>
      <c r="AF63" s="12">
        <f t="shared" si="103"/>
        <v>1356244822.3299999</v>
      </c>
      <c r="AG63" s="12">
        <f t="shared" si="7"/>
        <v>-8366140.3099999949</v>
      </c>
      <c r="AH63" s="12">
        <f t="shared" si="3"/>
        <v>-785748962.93000031</v>
      </c>
      <c r="AI63" s="12">
        <f>AF63/Z63*100</f>
        <v>63.316935448782161</v>
      </c>
      <c r="AJ63" s="12">
        <f>AF63-AA63</f>
        <v>-1166162166.54</v>
      </c>
      <c r="AK63" s="12">
        <f t="shared" si="16"/>
        <v>53.767882356588977</v>
      </c>
      <c r="AL63" s="12" t="e">
        <f>AF63-#REF!</f>
        <v>#REF!</v>
      </c>
      <c r="AM63" s="12" t="e">
        <f>IF(#REF!=0,0,AF63/#REF!*100)</f>
        <v>#REF!</v>
      </c>
      <c r="AN63" s="12">
        <f t="shared" si="9"/>
        <v>-311895342.87000012</v>
      </c>
      <c r="AO63" s="12">
        <f t="shared" si="10"/>
        <v>81.302809597381426</v>
      </c>
      <c r="AP63" s="12">
        <f t="shared" si="11"/>
        <v>-172441720.9738946</v>
      </c>
      <c r="AQ63" s="12">
        <f t="shared" si="32"/>
        <v>88.719615428732524</v>
      </c>
      <c r="AR63" s="12">
        <f>AF63-M63</f>
        <v>482450077.05445671</v>
      </c>
      <c r="AS63" s="12">
        <f>IF(M63=0,0,AF63/M63*100)</f>
        <v>155.21320420647763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99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1519438109.2938945</v>
      </c>
      <c r="W65" s="94"/>
      <c r="X65" s="101"/>
      <c r="Y65" s="94" t="s">
        <v>98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1"/>
      <c r="AL65" s="131"/>
      <c r="AM65" s="131"/>
      <c r="AN65" s="131"/>
      <c r="AO65" s="131"/>
      <c r="AP65" s="131"/>
    </row>
    <row r="66" spans="1:44" s="78" customFormat="1" ht="18" customHeight="1" x14ac:dyDescent="0.3">
      <c r="O66" s="78" t="s">
        <v>40</v>
      </c>
      <c r="Q66" s="88"/>
      <c r="V66" s="120">
        <v>1454583313.6099999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1319602755.8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R4:AS4"/>
    <mergeCell ref="B7:I7"/>
    <mergeCell ref="B10:I10"/>
    <mergeCell ref="B11:I11"/>
    <mergeCell ref="B13:I13"/>
    <mergeCell ref="AN4:AO4"/>
    <mergeCell ref="AP4:AQ4"/>
    <mergeCell ref="X4:X5"/>
    <mergeCell ref="B14:I14"/>
    <mergeCell ref="AG4:AG5"/>
    <mergeCell ref="AH4:AI4"/>
    <mergeCell ref="AJ4:AK4"/>
    <mergeCell ref="AL4:AM4"/>
    <mergeCell ref="Y4:Y5"/>
    <mergeCell ref="Z4:Z5"/>
    <mergeCell ref="AA4:AB4"/>
    <mergeCell ref="AC4:AD4"/>
    <mergeCell ref="AE4:AE5"/>
    <mergeCell ref="AF4:AF5"/>
    <mergeCell ref="R4:R5"/>
    <mergeCell ref="S4:S5"/>
    <mergeCell ref="T4:T5"/>
    <mergeCell ref="U4:U5"/>
    <mergeCell ref="V4:V5"/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</mergeCells>
  <pageMargins left="0.39370078740157483" right="0.39370078740157483" top="0.78740157480314965" bottom="0.39370078740157483" header="0.39370078740157483" footer="0.39370078740157483"/>
  <pageSetup paperSize="9" scale="60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09.08 </vt:lpstr>
      <vt:lpstr>08.08</vt:lpstr>
      <vt:lpstr>'08.08'!Заголовки_для_печати</vt:lpstr>
      <vt:lpstr>'09.08 '!Заголовки_для_печати</vt:lpstr>
      <vt:lpstr>'08.08'!Область_печати</vt:lpstr>
      <vt:lpstr>'09.08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2024-08-09T13:20:32Z</cp:lastPrinted>
  <dcterms:created xsi:type="dcterms:W3CDTF">2018-12-30T09:36:16Z</dcterms:created>
  <dcterms:modified xsi:type="dcterms:W3CDTF">2024-08-30T09:04:35Z</dcterms:modified>
</cp:coreProperties>
</file>